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br" sheetId="1" r:id="rId1"/>
    <sheet name="Sheet1" sheetId="2" r:id="rId2"/>
  </sheets>
  <definedNames>
    <definedName name="\P">'c2b br'!#REF!</definedName>
    <definedName name="ACAD_SUPP">'c2b br'!$A$426</definedName>
    <definedName name="DASH">'c2b br'!#REF!</definedName>
    <definedName name="H_1">'c2b br'!$A$3:$Q$15</definedName>
    <definedName name="INSTIT_SUPP">'c2b br'!$A$504</definedName>
    <definedName name="P_1">'c2b br'!$A$16:$Q$567</definedName>
    <definedName name="_xlnm.Print_Area" localSheetId="0">'c2b br'!$A$16:$Q$567</definedName>
    <definedName name="_xlnm.Print_Titles" localSheetId="0">'c2b br'!$1:$15</definedName>
    <definedName name="Print_Titles_MI">'c2b br'!$3:$15</definedName>
    <definedName name="PUBLIC_SERV">'c2b br'!$A$297</definedName>
    <definedName name="RESEARCH">'c2b br'!$A$158</definedName>
    <definedName name="STUD_SERV">'c2b br'!$A$469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Z157" authorId="0">
      <text>
        <r>
          <rPr>
            <sz val="8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<sst xmlns="http://schemas.openxmlformats.org/spreadsheetml/2006/main" count="1041" uniqueCount="312">
  <si>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</si>
  <si>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</si>
  <si>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</si>
  <si>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</si>
  <si>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</si>
  <si>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</si>
  <si>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</si>
  <si>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</si>
  <si>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</si>
  <si>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</si>
  <si>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</si>
  <si>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</si>
  <si>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Agriculture-</t>
  </si>
  <si>
    <t xml:space="preserve">  Arts and sciences-</t>
  </si>
  <si>
    <t/>
  </si>
  <si>
    <t xml:space="preserve"> </t>
  </si>
  <si>
    <t xml:space="preserve">  Basic sciences-</t>
  </si>
  <si>
    <t xml:space="preserve">  Continuing education-</t>
  </si>
  <si>
    <t xml:space="preserve">  Education-</t>
  </si>
  <si>
    <t xml:space="preserve">  Engineering-</t>
  </si>
  <si>
    <t xml:space="preserve">  Music and dramatic arts-</t>
  </si>
  <si>
    <t xml:space="preserve"> Research--</t>
  </si>
  <si>
    <t xml:space="preserve">  Research and economic development-</t>
  </si>
  <si>
    <t xml:space="preserve">  Veterinary medicine-</t>
  </si>
  <si>
    <t xml:space="preserve">  Libraries-</t>
  </si>
  <si>
    <t xml:space="preserve">  Museums-</t>
  </si>
  <si>
    <t xml:space="preserve">  Academic administration-</t>
  </si>
  <si>
    <t xml:space="preserve">  Counseling and career guidance-</t>
  </si>
  <si>
    <t xml:space="preserve">  Social and cultural development -</t>
  </si>
  <si>
    <t xml:space="preserve">  Executive management-</t>
  </si>
  <si>
    <t xml:space="preserve">  Fiscal operations-</t>
  </si>
  <si>
    <t xml:space="preserve">  General administrative services-</t>
  </si>
  <si>
    <t xml:space="preserve">  Public relations and development-</t>
  </si>
  <si>
    <t xml:space="preserve"> Auxiliary enterprises--</t>
  </si>
  <si>
    <t xml:space="preserve">   Louisiana transportation research center </t>
  </si>
  <si>
    <t xml:space="preserve">  Academic programs abroad</t>
  </si>
  <si>
    <t xml:space="preserve">   Dairy science</t>
  </si>
  <si>
    <t xml:space="preserve">   Human ecology</t>
  </si>
  <si>
    <t xml:space="preserve">   Interdisciplinary</t>
  </si>
  <si>
    <t xml:space="preserve">   Poultry science</t>
  </si>
  <si>
    <t xml:space="preserve">   Communication sciences and disorders</t>
  </si>
  <si>
    <t xml:space="preserve">   English</t>
  </si>
  <si>
    <t xml:space="preserve">   Foreign languages and literatures</t>
  </si>
  <si>
    <t xml:space="preserve">   French studies</t>
  </si>
  <si>
    <t xml:space="preserve">   Geography and anthropology</t>
  </si>
  <si>
    <t xml:space="preserve">   History</t>
  </si>
  <si>
    <t xml:space="preserve">   Mathematics</t>
  </si>
  <si>
    <t xml:space="preserve">   Philosophy</t>
  </si>
  <si>
    <t xml:space="preserve">   Political science</t>
  </si>
  <si>
    <t xml:space="preserve">   Psychology </t>
  </si>
  <si>
    <t xml:space="preserve">   Biological sciences</t>
  </si>
  <si>
    <t xml:space="preserve">   Chemistry</t>
  </si>
  <si>
    <t xml:space="preserve">   Computer science </t>
  </si>
  <si>
    <t xml:space="preserve">   Geology and geophysics </t>
  </si>
  <si>
    <t xml:space="preserve">   Physics and astronomy</t>
  </si>
  <si>
    <t xml:space="preserve">   Accounting</t>
  </si>
  <si>
    <t xml:space="preserve">   Economics</t>
  </si>
  <si>
    <t xml:space="preserve">   Executive MBA program</t>
  </si>
  <si>
    <t xml:space="preserve">   Finance</t>
  </si>
  <si>
    <t xml:space="preserve">   Management </t>
  </si>
  <si>
    <t xml:space="preserve">   Marketing</t>
  </si>
  <si>
    <t xml:space="preserve">   Masters program</t>
  </si>
  <si>
    <t xml:space="preserve">   Dean's office</t>
  </si>
  <si>
    <t xml:space="preserve">   Fine arts</t>
  </si>
  <si>
    <t xml:space="preserve">   Landscape architecture </t>
  </si>
  <si>
    <t xml:space="preserve">   Kinesiology</t>
  </si>
  <si>
    <t xml:space="preserve">   Chemical </t>
  </si>
  <si>
    <t xml:space="preserve">   Civil and environmental</t>
  </si>
  <si>
    <t xml:space="preserve">   Electrical and computer</t>
  </si>
  <si>
    <t xml:space="preserve">   Mechanical </t>
  </si>
  <si>
    <t xml:space="preserve">   Petroleum</t>
  </si>
  <si>
    <t xml:space="preserve">  Graduate school</t>
  </si>
  <si>
    <t xml:space="preserve">  Honors college</t>
  </si>
  <si>
    <t xml:space="preserve">  Mass communication</t>
  </si>
  <si>
    <t xml:space="preserve">   Administration </t>
  </si>
  <si>
    <t xml:space="preserve">   Bands</t>
  </si>
  <si>
    <t xml:space="preserve">  Social work </t>
  </si>
  <si>
    <t xml:space="preserve">  Student health center internships</t>
  </si>
  <si>
    <t xml:space="preserve">  Student technology fee projects </t>
  </si>
  <si>
    <t xml:space="preserve">  University college</t>
  </si>
  <si>
    <t xml:space="preserve">   Clinical sciences</t>
  </si>
  <si>
    <t xml:space="preserve">   Agronomy</t>
  </si>
  <si>
    <t xml:space="preserve">   Animal science</t>
  </si>
  <si>
    <t xml:space="preserve">   Entomology </t>
  </si>
  <si>
    <t xml:space="preserve">   Food science</t>
  </si>
  <si>
    <t xml:space="preserve">   Communication sciences and disorders </t>
  </si>
  <si>
    <t xml:space="preserve">   English  </t>
  </si>
  <si>
    <t xml:space="preserve">   Eric Voegelin institute</t>
  </si>
  <si>
    <t xml:space="preserve">   French studies </t>
  </si>
  <si>
    <t xml:space="preserve">   Geography and anthropology </t>
  </si>
  <si>
    <t xml:space="preserve">   Sociology</t>
  </si>
  <si>
    <t xml:space="preserve">   Accounting </t>
  </si>
  <si>
    <t xml:space="preserve">  Center for energy studies </t>
  </si>
  <si>
    <t xml:space="preserve">   Architecture </t>
  </si>
  <si>
    <t xml:space="preserve">   Chemical</t>
  </si>
  <si>
    <t xml:space="preserve">   Hazardous substance research center</t>
  </si>
  <si>
    <t xml:space="preserve">   Industrial and manufacturing systems</t>
  </si>
  <si>
    <t xml:space="preserve">   Institute for ecology infrastructure </t>
  </si>
  <si>
    <t xml:space="preserve">   Mechanical</t>
  </si>
  <si>
    <t xml:space="preserve">   Water resources</t>
  </si>
  <si>
    <t xml:space="preserve">  Graduate school </t>
  </si>
  <si>
    <t xml:space="preserve">  Louisiana geological survey </t>
  </si>
  <si>
    <t xml:space="preserve">  Music and dramatic arts </t>
  </si>
  <si>
    <t xml:space="preserve">   Comparative biomedical sciences</t>
  </si>
  <si>
    <t xml:space="preserve">   Dean </t>
  </si>
  <si>
    <t xml:space="preserve">   Diagnostic laboratory</t>
  </si>
  <si>
    <t xml:space="preserve">   Pathobiological sciences </t>
  </si>
  <si>
    <t xml:space="preserve">  Middleton library </t>
  </si>
  <si>
    <t xml:space="preserve">   Comparative biomedical services</t>
  </si>
  <si>
    <t xml:space="preserve">   Middleton</t>
  </si>
  <si>
    <t xml:space="preserve">   Thesis binding </t>
  </si>
  <si>
    <t xml:space="preserve">   Art</t>
  </si>
  <si>
    <t xml:space="preserve">   Rural life </t>
  </si>
  <si>
    <t xml:space="preserve">  Office of technology transfer</t>
  </si>
  <si>
    <t xml:space="preserve">   Academic services</t>
  </si>
  <si>
    <t xml:space="preserve">   Agriculture</t>
  </si>
  <si>
    <t xml:space="preserve">   Arts and sciences</t>
  </si>
  <si>
    <t xml:space="preserve">   Basic sciences </t>
  </si>
  <si>
    <t xml:space="preserve">   Education</t>
  </si>
  <si>
    <t xml:space="preserve">   Honors college </t>
  </si>
  <si>
    <t xml:space="preserve">   Mass communication</t>
  </si>
  <si>
    <t xml:space="preserve">   Music and dramatic arts</t>
  </si>
  <si>
    <t xml:space="preserve">   Radiation safety </t>
  </si>
  <si>
    <t xml:space="preserve">   University college </t>
  </si>
  <si>
    <t xml:space="preserve">   University press </t>
  </si>
  <si>
    <t xml:space="preserve">   Veterinary medicine</t>
  </si>
  <si>
    <t xml:space="preserve">  Enrollment services </t>
  </si>
  <si>
    <t xml:space="preserve">  Records and registration</t>
  </si>
  <si>
    <t xml:space="preserve">   Career planning and placement</t>
  </si>
  <si>
    <t xml:space="preserve">   African American cultural center</t>
  </si>
  <si>
    <t xml:space="preserve">   International cultural center</t>
  </si>
  <si>
    <t xml:space="preserve">   Student activities </t>
  </si>
  <si>
    <t xml:space="preserve">   Chancellor </t>
  </si>
  <si>
    <t xml:space="preserve">   Accounting services</t>
  </si>
  <si>
    <t xml:space="preserve">   Public relations</t>
  </si>
  <si>
    <t xml:space="preserve">   Engineering</t>
  </si>
  <si>
    <t xml:space="preserve">  Alterations and repairs </t>
  </si>
  <si>
    <t xml:space="preserve"> Scholarships and fellowships </t>
  </si>
  <si>
    <t xml:space="preserve">   Horticulture</t>
  </si>
  <si>
    <t xml:space="preserve">   Communication studies</t>
  </si>
  <si>
    <t xml:space="preserve">  Library science</t>
  </si>
  <si>
    <t xml:space="preserve">   Pathobiological sciences</t>
  </si>
  <si>
    <t xml:space="preserve">   Coastal ecology institute </t>
  </si>
  <si>
    <t xml:space="preserve">   Coastal studies institute </t>
  </si>
  <si>
    <t xml:space="preserve">      Total agriculture </t>
  </si>
  <si>
    <t xml:space="preserve">      Total arts and sciences</t>
  </si>
  <si>
    <t xml:space="preserve">      Total basic sciences</t>
  </si>
  <si>
    <t xml:space="preserve">      Total continuing education</t>
  </si>
  <si>
    <t xml:space="preserve">      Total education </t>
  </si>
  <si>
    <t xml:space="preserve">      Total engineering</t>
  </si>
  <si>
    <t xml:space="preserve">      Total music and dramatic arts</t>
  </si>
  <si>
    <t xml:space="preserve">      Total veterinary medicine </t>
  </si>
  <si>
    <t xml:space="preserve">        Total instruction</t>
  </si>
  <si>
    <t xml:space="preserve">      Total arts and sciences </t>
  </si>
  <si>
    <t xml:space="preserve">   Coastal fisheries institute </t>
  </si>
  <si>
    <t xml:space="preserve">   Interdisciplinary </t>
  </si>
  <si>
    <t xml:space="preserve">   Oceanography and coastal sciences </t>
  </si>
  <si>
    <t xml:space="preserve">   Special programs</t>
  </si>
  <si>
    <t xml:space="preserve">   Wetland biogeochemistry institute </t>
  </si>
  <si>
    <t xml:space="preserve">      Total engineering </t>
  </si>
  <si>
    <t xml:space="preserve">        Total research </t>
  </si>
  <si>
    <t xml:space="preserve">      Total music and dramatic arts </t>
  </si>
  <si>
    <t xml:space="preserve">      Total veterinary medicine</t>
  </si>
  <si>
    <t xml:space="preserve">        Total public service</t>
  </si>
  <si>
    <t xml:space="preserve">      Total libraries </t>
  </si>
  <si>
    <t xml:space="preserve">      Total museums </t>
  </si>
  <si>
    <t xml:space="preserve">      Total academic administration </t>
  </si>
  <si>
    <t xml:space="preserve">        Total academic support </t>
  </si>
  <si>
    <t xml:space="preserve">        Total student services</t>
  </si>
  <si>
    <t xml:space="preserve">      Total executive management</t>
  </si>
  <si>
    <t xml:space="preserve">        Total institutional support </t>
  </si>
  <si>
    <t xml:space="preserve">      Total research and economic development</t>
  </si>
  <si>
    <t xml:space="preserve">  Disability services</t>
  </si>
  <si>
    <t xml:space="preserve">   Institute for entrepreneurial education</t>
  </si>
  <si>
    <t xml:space="preserve">   Biological and agricultural engineering</t>
  </si>
  <si>
    <t xml:space="preserve">      Total social and cultural development</t>
  </si>
  <si>
    <t xml:space="preserve">      Total public relations and development</t>
  </si>
  <si>
    <t xml:space="preserve">   Renewable natural resources</t>
  </si>
  <si>
    <t xml:space="preserve">   Faculty research travel grant</t>
  </si>
  <si>
    <t xml:space="preserve">   Disability services and wellness education</t>
  </si>
  <si>
    <t xml:space="preserve">   Information systems and decision sciences (ISDS)</t>
  </si>
  <si>
    <t xml:space="preserve">  National center for security research and training (NCSRT)</t>
  </si>
  <si>
    <t xml:space="preserve">  Center for advanced microstructures and devices (CAMD)</t>
  </si>
  <si>
    <t xml:space="preserve">      Total NCSRT</t>
  </si>
  <si>
    <t xml:space="preserve">  Center for computation and technology (CCT)</t>
  </si>
  <si>
    <t xml:space="preserve">   Fire and emergency training institute (FETI)</t>
  </si>
  <si>
    <t xml:space="preserve">   National center for biomedical research and training (NCBRT)</t>
  </si>
  <si>
    <t xml:space="preserve">   Turbine innovation and energy research center</t>
  </si>
  <si>
    <t xml:space="preserve">  Coast and environment-</t>
  </si>
  <si>
    <t xml:space="preserve">   Law enforcement online (LEO)</t>
  </si>
  <si>
    <t xml:space="preserve">   Coast and environment</t>
  </si>
  <si>
    <t xml:space="preserve">   Library science</t>
  </si>
  <si>
    <t xml:space="preserve"> Operation and maintenance of plant--</t>
  </si>
  <si>
    <t xml:space="preserve">    Principal and interest</t>
  </si>
  <si>
    <t>Educational and general:</t>
  </si>
  <si>
    <t xml:space="preserve">  Art and design-</t>
  </si>
  <si>
    <t xml:space="preserve">      Total coast and environment</t>
  </si>
  <si>
    <t xml:space="preserve"> Public service--</t>
  </si>
  <si>
    <t xml:space="preserve">  Art and design- </t>
  </si>
  <si>
    <t xml:space="preserve">  Child care center</t>
  </si>
  <si>
    <t xml:space="preserve">  Civil war center</t>
  </si>
  <si>
    <t xml:space="preserve"> Academic support--</t>
  </si>
  <si>
    <t xml:space="preserve">  Laboratory school</t>
  </si>
  <si>
    <t xml:space="preserve"> Student services--</t>
  </si>
  <si>
    <t xml:space="preserve"> Institutional support--</t>
  </si>
  <si>
    <t xml:space="preserve">  National center for security research and training (NCSRT)-</t>
  </si>
  <si>
    <t xml:space="preserve">      Total general administrative services</t>
  </si>
  <si>
    <t xml:space="preserve">        Total operation and maintenance of plant</t>
  </si>
  <si>
    <t xml:space="preserve">        Total transfers </t>
  </si>
  <si>
    <t xml:space="preserve">   Louisiana transportation research center</t>
  </si>
  <si>
    <t xml:space="preserve">  Library and information science</t>
  </si>
  <si>
    <t xml:space="preserve">   Communications</t>
  </si>
  <si>
    <t xml:space="preserve">   Theatre</t>
  </si>
  <si>
    <t xml:space="preserve">  Telecommunications</t>
  </si>
  <si>
    <t xml:space="preserve">   Laboratory animal medicine</t>
  </si>
  <si>
    <t xml:space="preserve">  Academic center for student athletes</t>
  </si>
  <si>
    <t xml:space="preserve">   University recreation</t>
  </si>
  <si>
    <t xml:space="preserve">      Total art and design</t>
  </si>
  <si>
    <t xml:space="preserve">      Total agriculture</t>
  </si>
  <si>
    <t xml:space="preserve">  Music and dramatic arts- </t>
  </si>
  <si>
    <t xml:space="preserve">        Total auxiliary enterprises </t>
  </si>
  <si>
    <t xml:space="preserve">          Total expenditures and transfers </t>
  </si>
  <si>
    <t xml:space="preserve"> Transfers--</t>
  </si>
  <si>
    <t xml:space="preserve">   Mandatory transfers for-</t>
  </si>
  <si>
    <t xml:space="preserve">   Nonmandatory transfers for-</t>
  </si>
  <si>
    <t xml:space="preserve">      Total nonmandatory transfers</t>
  </si>
  <si>
    <t xml:space="preserve">   Expenditures</t>
  </si>
  <si>
    <t xml:space="preserve">   Nonmandatory transfers for -</t>
  </si>
  <si>
    <t xml:space="preserve">     Principal and interest </t>
  </si>
  <si>
    <t xml:space="preserve">   Oceanography and coastal sciences</t>
  </si>
  <si>
    <t xml:space="preserve">   Management</t>
  </si>
  <si>
    <t xml:space="preserve">  Hurricane relief</t>
  </si>
  <si>
    <t xml:space="preserve">     Depreciation expense</t>
  </si>
  <si>
    <t xml:space="preserve">   Mandatory transfers for principal and interest</t>
  </si>
  <si>
    <t xml:space="preserve">   Agricultural economics and agribusiness</t>
  </si>
  <si>
    <t xml:space="preserve">   Human resource education and workforce development</t>
  </si>
  <si>
    <t xml:space="preserve">  Gordon A. Cain center</t>
  </si>
  <si>
    <t xml:space="preserve">   Agricultural economics and agribusiness </t>
  </si>
  <si>
    <t xml:space="preserve">   Biotechnology and molecular medicine</t>
  </si>
  <si>
    <t xml:space="preserve">   Vice Chancellor for student services </t>
  </si>
  <si>
    <t xml:space="preserve">   Vice Provost for academic affairs</t>
  </si>
  <si>
    <t xml:space="preserve">   Vice Chancellor for finance and administrative services </t>
  </si>
  <si>
    <t xml:space="preserve">    Capital improvements</t>
  </si>
  <si>
    <t xml:space="preserve">   Non-credit programs</t>
  </si>
  <si>
    <t xml:space="preserve">   Music</t>
  </si>
  <si>
    <t xml:space="preserve">  Louisiana sea grant college program</t>
  </si>
  <si>
    <t xml:space="preserve">   Architecture</t>
  </si>
  <si>
    <t xml:space="preserve">  Orientation</t>
  </si>
  <si>
    <t xml:space="preserve">   Club sports</t>
  </si>
  <si>
    <t xml:space="preserve">   Purchasing</t>
  </si>
  <si>
    <t xml:space="preserve">  Social work</t>
  </si>
  <si>
    <t xml:space="preserve">   Environmental initiatives</t>
  </si>
  <si>
    <t xml:space="preserve">   Educational theory, policy and practice (ETPP)</t>
  </si>
  <si>
    <t xml:space="preserve">  Information technology services</t>
  </si>
  <si>
    <t xml:space="preserve">          Subtotal expenditures and transfers</t>
  </si>
  <si>
    <t xml:space="preserve">        Total educational and general expenditures</t>
  </si>
  <si>
    <t xml:space="preserve">   Vice Chancellor for communications and university relations</t>
  </si>
  <si>
    <t xml:space="preserve">   Vice Chancellor for research and graduate school dean</t>
  </si>
  <si>
    <t xml:space="preserve">   Staff senate</t>
  </si>
  <si>
    <t xml:space="preserve">   Political Science</t>
  </si>
  <si>
    <t xml:space="preserve">   Psychology</t>
  </si>
  <si>
    <t xml:space="preserve">   Museum of natural science</t>
  </si>
  <si>
    <t xml:space="preserve">   Center for rotating machinery</t>
  </si>
  <si>
    <t xml:space="preserve">    Biological sciences</t>
  </si>
  <si>
    <t xml:space="preserve">    Chemistry</t>
  </si>
  <si>
    <t xml:space="preserve">    Geology and geophysics</t>
  </si>
  <si>
    <t xml:space="preserve">  Logistical services-</t>
  </si>
  <si>
    <t xml:space="preserve">  Institute for partnerships in education</t>
  </si>
  <si>
    <t xml:space="preserve">  University press</t>
  </si>
  <si>
    <t>Indirect Cost</t>
  </si>
  <si>
    <t>ANALYSIS C-2B</t>
  </si>
  <si>
    <t>Current Restricted Fund Expenditures</t>
  </si>
  <si>
    <t xml:space="preserve">   Foreign languages laboratory</t>
  </si>
  <si>
    <t xml:space="preserve">  Continuing professional development</t>
  </si>
  <si>
    <t xml:space="preserve">  Office of assessment and evaluation</t>
  </si>
  <si>
    <t xml:space="preserve">   Veterinary teaching hospital</t>
  </si>
  <si>
    <t xml:space="preserve">   Plant pathology</t>
  </si>
  <si>
    <t xml:space="preserve">   Public administration</t>
  </si>
  <si>
    <t xml:space="preserve">   Environmental sciences</t>
  </si>
  <si>
    <t xml:space="preserve">   Veterinary science</t>
  </si>
  <si>
    <t xml:space="preserve">   Business and technology center (LBTC)</t>
  </si>
  <si>
    <t xml:space="preserve">   Pre-college programs</t>
  </si>
  <si>
    <t xml:space="preserve">  Center for academic success</t>
  </si>
  <si>
    <t xml:space="preserve">   Campus life</t>
  </si>
  <si>
    <t xml:space="preserve">    Other</t>
  </si>
  <si>
    <t xml:space="preserve">  Business-</t>
  </si>
  <si>
    <t xml:space="preserve">      Total business </t>
  </si>
  <si>
    <t xml:space="preserve">  Strategic initiatives</t>
  </si>
  <si>
    <t xml:space="preserve">  Center for biomodular multi-scale systems</t>
  </si>
  <si>
    <t xml:space="preserve">   Miscellaneous projects</t>
  </si>
  <si>
    <t xml:space="preserve">  Academic affairs</t>
  </si>
  <si>
    <t xml:space="preserve">   Vice Chancellor for strategic initiatives and public service</t>
  </si>
  <si>
    <t>For the year ended June 30, 2010</t>
  </si>
  <si>
    <t xml:space="preserve">   Public administrative institute</t>
  </si>
  <si>
    <t xml:space="preserve">   English language orientation program</t>
  </si>
  <si>
    <t xml:space="preserve">   Student technology fee projects</t>
  </si>
  <si>
    <t xml:space="preserve">   Information sciences</t>
  </si>
  <si>
    <t xml:space="preserve">  Human resource management</t>
  </si>
  <si>
    <t xml:space="preserve">  Museum of art</t>
  </si>
  <si>
    <t xml:space="preserve">  Public safety</t>
  </si>
  <si>
    <t xml:space="preserve">  Research and economic development</t>
  </si>
  <si>
    <t xml:space="preserve">  Southern review</t>
  </si>
  <si>
    <t xml:space="preserve">  Women's center</t>
  </si>
  <si>
    <t xml:space="preserve">   Business administration</t>
  </si>
  <si>
    <t xml:space="preserve">   Social work</t>
  </si>
  <si>
    <t xml:space="preserve">  Miscellaneous expenses</t>
  </si>
  <si>
    <t xml:space="preserve">   Miscellaneous</t>
  </si>
  <si>
    <t xml:space="preserve">  Computer networking</t>
  </si>
  <si>
    <t xml:space="preserve">    Hurricane relief</t>
  </si>
  <si>
    <t xml:space="preserve">      Total fiscal operations</t>
  </si>
  <si>
    <t xml:space="preserve">  Undergraduate admissions and student aid</t>
  </si>
  <si>
    <t xml:space="preserve">   Stephenson disaster management institute (SDMI)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</si>
</sst>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</numFmts>
  <fonts count="44">
    <font>
      <sz val="8"/>
      <name val="Courier"/>
      <family val="0"/>
    </font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61D7C"/>
      <name val="Goudy Old Style"/>
      <family val="1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165" fontId="3" fillId="0" borderId="0" xfId="42" applyNumberFormat="1" applyFont="1" applyAlignment="1" applyProtection="1">
      <alignment vertical="center"/>
      <protection/>
    </xf>
    <xf numFmtId="165" fontId="3" fillId="0" borderId="0" xfId="42" applyNumberFormat="1" applyFont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 applyProtection="1">
      <alignment vertical="center"/>
      <protection/>
    </xf>
    <xf numFmtId="49" fontId="3" fillId="0" borderId="0" xfId="42" applyNumberFormat="1" applyFont="1" applyFill="1" applyAlignment="1" applyProtection="1">
      <alignment vertical="center"/>
      <protection/>
    </xf>
    <xf numFmtId="49" fontId="3" fillId="0" borderId="0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>
      <alignment vertical="center"/>
    </xf>
    <xf numFmtId="165" fontId="5" fillId="0" borderId="0" xfId="42" applyNumberFormat="1" applyFont="1" applyFill="1" applyAlignment="1" applyProtection="1">
      <alignment vertical="center"/>
      <protection/>
    </xf>
    <xf numFmtId="37" fontId="0" fillId="0" borderId="0" xfId="55">
      <alignment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37" fontId="4" fillId="0" borderId="0" xfId="55" applyFont="1" applyFill="1" applyBorder="1" applyAlignment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167" fontId="7" fillId="0" borderId="10" xfId="44" applyNumberFormat="1" applyFont="1" applyFill="1" applyBorder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 quotePrefix="1">
      <alignment vertical="center"/>
      <protection/>
    </xf>
    <xf numFmtId="165" fontId="7" fillId="0" borderId="14" xfId="42" applyNumberFormat="1" applyFont="1" applyFill="1" applyBorder="1" applyAlignment="1" applyProtection="1">
      <alignment vertical="center"/>
      <protection/>
    </xf>
    <xf numFmtId="167" fontId="7" fillId="0" borderId="15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7" fillId="0" borderId="10" xfId="42" applyNumberFormat="1" applyFont="1" applyBorder="1" applyAlignment="1" applyProtection="1">
      <alignment horizontal="centerContinuous" vertical="center"/>
      <protection/>
    </xf>
    <xf numFmtId="42" fontId="7" fillId="0" borderId="10" xfId="42" applyNumberFormat="1" applyFont="1" applyFill="1" applyBorder="1" applyAlignment="1" applyProtection="1">
      <alignment vertical="center"/>
      <protection/>
    </xf>
    <xf numFmtId="165" fontId="7" fillId="0" borderId="16" xfId="42" applyNumberFormat="1" applyFont="1" applyFill="1" applyBorder="1" applyAlignment="1" applyProtection="1">
      <alignment vertical="center"/>
      <protection/>
    </xf>
    <xf numFmtId="165" fontId="7" fillId="0" borderId="17" xfId="42" applyNumberFormat="1" applyFont="1" applyFill="1" applyBorder="1" applyAlignment="1" applyProtection="1">
      <alignment vertical="center"/>
      <protection/>
    </xf>
    <xf numFmtId="165" fontId="7" fillId="0" borderId="18" xfId="42" applyNumberFormat="1" applyFont="1" applyFill="1" applyBorder="1" applyAlignment="1" applyProtection="1">
      <alignment vertical="center"/>
      <protection/>
    </xf>
    <xf numFmtId="42" fontId="7" fillId="0" borderId="15" xfId="42" applyNumberFormat="1" applyFont="1" applyFill="1" applyBorder="1" applyAlignment="1" applyProtection="1">
      <alignment vertical="center"/>
      <protection/>
    </xf>
    <xf numFmtId="165" fontId="7" fillId="0" borderId="19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Alignment="1">
      <alignment vertical="center"/>
    </xf>
    <xf numFmtId="37" fontId="42" fillId="0" borderId="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9525</xdr:rowOff>
    </xdr:from>
    <xdr:to>
      <xdr:col>0</xdr:col>
      <xdr:colOff>2809875</xdr:colOff>
      <xdr:row>6</xdr:row>
      <xdr:rowOff>123825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525"/>
          <a:ext cx="2114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78"/>
  <sheetViews>
    <sheetView showGridLines="0" tabSelected="1" defaultGridColor="0" colorId="22" workbookViewId="0" topLeftCell="A1">
      <selection activeCell="A1" sqref="A1:A8"/>
    </sheetView>
  </sheetViews>
  <sheetFormatPr defaultColWidth="9.140625" defaultRowHeight="12"/>
  <cols>
    <col min="1" max="1" width="54.140625" style="1" customWidth="1"/>
    <col min="2" max="2" width="1.57421875" style="1" customWidth="1"/>
    <col min="3" max="3" width="12.8515625" style="1" customWidth="1"/>
    <col min="4" max="4" width="1.57421875" style="1" customWidth="1"/>
    <col min="5" max="5" width="13.57421875" style="1" customWidth="1"/>
    <col min="6" max="6" width="1.57421875" style="1" customWidth="1"/>
    <col min="7" max="7" width="12.57421875" style="1" customWidth="1"/>
    <col min="8" max="8" width="1.57421875" style="1" customWidth="1"/>
    <col min="9" max="9" width="13.8515625" style="1" bestFit="1" customWidth="1"/>
    <col min="10" max="10" width="1.57421875" style="1" customWidth="1"/>
    <col min="11" max="11" width="13.57421875" style="1" customWidth="1"/>
    <col min="12" max="12" width="1.57421875" style="1" customWidth="1"/>
    <col min="13" max="13" width="13.57421875" style="1" customWidth="1"/>
    <col min="14" max="14" width="1.57421875" style="1" customWidth="1"/>
    <col min="15" max="15" width="13.8515625" style="1" bestFit="1" customWidth="1"/>
    <col min="16" max="16" width="1.57421875" style="1" customWidth="1"/>
    <col min="17" max="17" width="13.00390625" style="1" bestFit="1" customWidth="1"/>
    <col min="18" max="18" width="7.57421875" style="5" customWidth="1"/>
    <col min="19" max="16384" width="9.00390625" style="1" customWidth="1"/>
  </cols>
  <sheetData>
    <row r="1" spans="1:256" s="3" customFormat="1" ht="12">
      <c r="A1" s="4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9" customFormat="1" ht="10.5" customHeight="1">
      <c r="A2" s="4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9" customFormat="1" ht="16.5">
      <c r="A3" s="40"/>
      <c r="B3" s="12"/>
      <c r="C3" s="41" t="s">
        <v>270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9" customFormat="1" ht="8.25" customHeight="1">
      <c r="A4" s="40"/>
      <c r="B4" s="1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9" customFormat="1" ht="16.5">
      <c r="A5" s="40"/>
      <c r="B5" s="13"/>
      <c r="C5" s="41" t="s">
        <v>271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9" customFormat="1" ht="16.5">
      <c r="A6" s="40"/>
      <c r="B6" s="12"/>
      <c r="C6" s="41" t="s">
        <v>292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15" s="9" customFormat="1" ht="10.5" customHeight="1">
      <c r="A7" s="40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256" s="3" customFormat="1" ht="12">
      <c r="A8" s="4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" customFormat="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7" ht="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3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2" customHeight="1">
      <c r="A12" s="18"/>
      <c r="B12" s="18"/>
      <c r="C12" s="33" t="s">
        <v>0</v>
      </c>
      <c r="D12" s="33"/>
      <c r="E12" s="33"/>
      <c r="F12" s="33"/>
      <c r="G12" s="33"/>
      <c r="H12" s="33"/>
      <c r="I12" s="33"/>
      <c r="J12" s="18"/>
      <c r="K12" s="18"/>
      <c r="L12" s="18"/>
      <c r="M12" s="33" t="s">
        <v>1</v>
      </c>
      <c r="N12" s="33"/>
      <c r="O12" s="33"/>
      <c r="P12" s="33"/>
      <c r="Q12" s="33"/>
    </row>
    <row r="13" spans="1:17" ht="12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30" t="s">
        <v>2</v>
      </c>
      <c r="N13" s="18"/>
      <c r="O13" s="18"/>
      <c r="P13" s="18"/>
      <c r="Q13" s="30" t="s">
        <v>269</v>
      </c>
    </row>
    <row r="14" spans="1:17" ht="12" customHeight="1">
      <c r="A14" s="18"/>
      <c r="B14" s="18"/>
      <c r="C14" s="31" t="s">
        <v>3</v>
      </c>
      <c r="D14" s="32"/>
      <c r="E14" s="31" t="s">
        <v>4</v>
      </c>
      <c r="F14" s="32"/>
      <c r="G14" s="31" t="s">
        <v>5</v>
      </c>
      <c r="H14" s="32"/>
      <c r="I14" s="31" t="s">
        <v>6</v>
      </c>
      <c r="J14" s="32"/>
      <c r="K14" s="31" t="s">
        <v>7</v>
      </c>
      <c r="L14" s="32"/>
      <c r="M14" s="31" t="s">
        <v>8</v>
      </c>
      <c r="N14" s="32"/>
      <c r="O14" s="31" t="s">
        <v>9</v>
      </c>
      <c r="P14" s="32"/>
      <c r="Q14" s="31" t="s">
        <v>10</v>
      </c>
    </row>
    <row r="15" spans="1:17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8" s="3" customFormat="1" ht="13.5" customHeight="1">
      <c r="A16" s="19" t="s">
        <v>194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6"/>
    </row>
    <row r="17" spans="1:18" s="3" customFormat="1" ht="13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6"/>
    </row>
    <row r="18" spans="1:18" s="3" customFormat="1" ht="13.5" customHeight="1">
      <c r="A18" s="19" t="s">
        <v>11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6"/>
    </row>
    <row r="19" spans="1:18" s="3" customFormat="1" ht="13.5" customHeight="1">
      <c r="A19" s="19" t="s">
        <v>35</v>
      </c>
      <c r="B19" s="20" t="s">
        <v>14</v>
      </c>
      <c r="C19" s="21">
        <v>0</v>
      </c>
      <c r="D19" s="19"/>
      <c r="E19" s="21">
        <v>0</v>
      </c>
      <c r="F19" s="19"/>
      <c r="G19" s="21">
        <v>0</v>
      </c>
      <c r="H19" s="19"/>
      <c r="I19" s="21">
        <v>0</v>
      </c>
      <c r="J19" s="19"/>
      <c r="K19" s="34">
        <f>IF(SUM(C19:I19)=SUM(M19:Q19),SUM(C19:I19),SUM(M19:Q19)-SUM(C19:I19))</f>
        <v>0</v>
      </c>
      <c r="L19" s="19"/>
      <c r="M19" s="21">
        <v>0</v>
      </c>
      <c r="N19" s="19"/>
      <c r="O19" s="21">
        <v>0</v>
      </c>
      <c r="P19" s="19"/>
      <c r="Q19" s="21">
        <v>0</v>
      </c>
      <c r="R19" s="6"/>
    </row>
    <row r="20" spans="1:18" s="3" customFormat="1" ht="13.5" customHeight="1">
      <c r="A20" s="19"/>
      <c r="B20" s="20" t="s">
        <v>14</v>
      </c>
      <c r="C20" s="19"/>
      <c r="D20" s="19"/>
      <c r="E20" s="19"/>
      <c r="F20" s="19"/>
      <c r="G20" s="19"/>
      <c r="H20" s="19"/>
      <c r="I20" s="19"/>
      <c r="J20" s="19"/>
      <c r="K20" s="28"/>
      <c r="L20" s="19"/>
      <c r="M20" s="19"/>
      <c r="N20" s="19"/>
      <c r="O20" s="19"/>
      <c r="P20" s="19"/>
      <c r="Q20" s="19"/>
      <c r="R20" s="6"/>
    </row>
    <row r="21" spans="1:18" s="3" customFormat="1" ht="13.5" customHeight="1">
      <c r="A21" s="19" t="s">
        <v>12</v>
      </c>
      <c r="B21" s="20" t="s">
        <v>14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6"/>
    </row>
    <row r="22" spans="1:18" s="3" customFormat="1" ht="13.5" customHeight="1">
      <c r="A22" s="19" t="s">
        <v>234</v>
      </c>
      <c r="B22" s="20"/>
      <c r="C22" s="19">
        <v>0</v>
      </c>
      <c r="D22" s="19"/>
      <c r="E22" s="19">
        <v>0</v>
      </c>
      <c r="F22" s="19"/>
      <c r="G22" s="19">
        <v>7326</v>
      </c>
      <c r="H22" s="19"/>
      <c r="I22" s="19">
        <v>0</v>
      </c>
      <c r="J22" s="19"/>
      <c r="K22" s="19">
        <f>IF(SUM(C22:I22)=SUM(M22:Q22),SUM(C22:I22),SUM(M22:Q22)-SUM(C22:I22))</f>
        <v>7326</v>
      </c>
      <c r="L22" s="19"/>
      <c r="M22" s="19">
        <v>6200</v>
      </c>
      <c r="N22" s="19"/>
      <c r="O22" s="19">
        <f>900+1</f>
        <v>901</v>
      </c>
      <c r="P22" s="19"/>
      <c r="Q22" s="19">
        <v>225</v>
      </c>
      <c r="R22" s="6"/>
    </row>
    <row r="23" spans="1:18" s="3" customFormat="1" ht="13.5" customHeight="1">
      <c r="A23" s="19" t="s">
        <v>82</v>
      </c>
      <c r="B23" s="20"/>
      <c r="C23" s="19">
        <v>0</v>
      </c>
      <c r="D23" s="19"/>
      <c r="E23" s="19">
        <v>0</v>
      </c>
      <c r="F23" s="19"/>
      <c r="G23" s="19">
        <v>2567</v>
      </c>
      <c r="H23" s="19"/>
      <c r="I23" s="19">
        <v>0</v>
      </c>
      <c r="J23" s="19"/>
      <c r="K23" s="19">
        <f>IF(SUM(C23:I23)=SUM(M23:Q23),SUM(C23:I23),SUM(M23:Q23)-SUM(C23:I23))</f>
        <v>2567</v>
      </c>
      <c r="L23" s="19"/>
      <c r="M23" s="19">
        <v>0</v>
      </c>
      <c r="N23" s="19"/>
      <c r="O23" s="19">
        <v>2567</v>
      </c>
      <c r="P23" s="19"/>
      <c r="Q23" s="19">
        <v>0</v>
      </c>
      <c r="R23" s="6"/>
    </row>
    <row r="24" spans="1:18" s="3" customFormat="1" ht="13.5" customHeight="1">
      <c r="A24" s="19" t="s">
        <v>174</v>
      </c>
      <c r="B24" s="20"/>
      <c r="C24" s="19">
        <v>0</v>
      </c>
      <c r="D24" s="19"/>
      <c r="E24" s="19">
        <v>0</v>
      </c>
      <c r="F24" s="19"/>
      <c r="G24" s="19">
        <v>2604</v>
      </c>
      <c r="H24" s="19"/>
      <c r="I24" s="19">
        <v>0</v>
      </c>
      <c r="J24" s="19"/>
      <c r="K24" s="19">
        <f>IF(SUM(C24:I24)=SUM(M24:Q24),SUM(C24:I24),SUM(M24:Q24)-SUM(C24:I24))</f>
        <v>2604</v>
      </c>
      <c r="L24" s="19"/>
      <c r="M24" s="19">
        <v>0</v>
      </c>
      <c r="N24" s="19"/>
      <c r="O24" s="19">
        <v>2604</v>
      </c>
      <c r="P24" s="19"/>
      <c r="Q24" s="19">
        <v>0</v>
      </c>
      <c r="R24" s="6"/>
    </row>
    <row r="25" spans="1:18" s="3" customFormat="1" ht="13.5" customHeight="1">
      <c r="A25" s="19" t="s">
        <v>36</v>
      </c>
      <c r="B25" s="20" t="s">
        <v>14</v>
      </c>
      <c r="C25" s="19">
        <v>0</v>
      </c>
      <c r="D25" s="19"/>
      <c r="E25" s="19">
        <v>0</v>
      </c>
      <c r="F25" s="19"/>
      <c r="G25" s="19">
        <v>3000</v>
      </c>
      <c r="H25" s="19"/>
      <c r="I25" s="19">
        <v>0</v>
      </c>
      <c r="J25" s="19"/>
      <c r="K25" s="19">
        <f>IF(SUM(C25:I25)=SUM(M25:Q25),SUM(C25:I25),SUM(M25:Q25)-SUM(C25:I25))</f>
        <v>3000</v>
      </c>
      <c r="L25" s="19"/>
      <c r="M25" s="19">
        <v>3000</v>
      </c>
      <c r="N25" s="19"/>
      <c r="O25" s="19">
        <v>0</v>
      </c>
      <c r="P25" s="19"/>
      <c r="Q25" s="19">
        <v>0</v>
      </c>
      <c r="R25" s="6"/>
    </row>
    <row r="26" spans="1:18" s="3" customFormat="1" ht="13.5" customHeight="1">
      <c r="A26" s="19" t="s">
        <v>37</v>
      </c>
      <c r="B26" s="20"/>
      <c r="C26" s="19">
        <v>0</v>
      </c>
      <c r="D26" s="19"/>
      <c r="E26" s="19">
        <v>0</v>
      </c>
      <c r="F26" s="19"/>
      <c r="G26" s="19">
        <v>41721</v>
      </c>
      <c r="H26" s="19"/>
      <c r="I26" s="19">
        <v>1158</v>
      </c>
      <c r="J26" s="19"/>
      <c r="K26" s="19">
        <f>IF(SUM(C26:I26)=SUM(M26:Q26),SUM(C26:I26),SUM(M26:Q26)-SUM(C26:I26))</f>
        <v>42879</v>
      </c>
      <c r="L26" s="19"/>
      <c r="M26" s="19">
        <v>34797</v>
      </c>
      <c r="N26" s="19"/>
      <c r="O26" s="19">
        <v>8082</v>
      </c>
      <c r="P26" s="19"/>
      <c r="Q26" s="19">
        <v>0</v>
      </c>
      <c r="R26" s="6"/>
    </row>
    <row r="27" spans="1:18" s="3" customFormat="1" ht="13.5" customHeight="1">
      <c r="A27" s="19" t="s">
        <v>235</v>
      </c>
      <c r="B27" s="20"/>
      <c r="C27" s="19">
        <v>1101417</v>
      </c>
      <c r="D27" s="19"/>
      <c r="E27" s="19">
        <v>0</v>
      </c>
      <c r="F27" s="19"/>
      <c r="G27" s="19">
        <v>11200</v>
      </c>
      <c r="H27" s="19"/>
      <c r="I27" s="19">
        <v>0</v>
      </c>
      <c r="J27" s="19"/>
      <c r="K27" s="19">
        <f aca="true" t="shared" si="0" ref="K27:K91">IF(SUM(C27:I27)=SUM(M27:Q27),SUM(C27:I27),SUM(M27:Q27)-SUM(C27:I27))</f>
        <v>1112617</v>
      </c>
      <c r="L27" s="19"/>
      <c r="M27" s="19">
        <v>912537</v>
      </c>
      <c r="N27" s="19"/>
      <c r="O27" s="19">
        <v>174906</v>
      </c>
      <c r="P27" s="19"/>
      <c r="Q27" s="19">
        <v>25174</v>
      </c>
      <c r="R27" s="6"/>
    </row>
    <row r="28" spans="1:18" s="3" customFormat="1" ht="13.5" customHeight="1">
      <c r="A28" s="19" t="s">
        <v>138</v>
      </c>
      <c r="B28" s="20"/>
      <c r="C28" s="19">
        <v>0</v>
      </c>
      <c r="D28" s="19"/>
      <c r="E28" s="19">
        <v>0</v>
      </c>
      <c r="F28" s="19"/>
      <c r="G28" s="19">
        <v>43175</v>
      </c>
      <c r="H28" s="19"/>
      <c r="I28" s="19">
        <v>0</v>
      </c>
      <c r="J28" s="19"/>
      <c r="K28" s="19">
        <f t="shared" si="0"/>
        <v>43175</v>
      </c>
      <c r="L28" s="19"/>
      <c r="M28" s="19">
        <v>29029</v>
      </c>
      <c r="N28" s="19"/>
      <c r="O28" s="19">
        <v>5991</v>
      </c>
      <c r="P28" s="19"/>
      <c r="Q28" s="19">
        <v>8155</v>
      </c>
      <c r="R28" s="6"/>
    </row>
    <row r="29" spans="1:18" s="3" customFormat="1" ht="13.5" customHeight="1">
      <c r="A29" s="19" t="s">
        <v>38</v>
      </c>
      <c r="B29" s="20" t="s">
        <v>14</v>
      </c>
      <c r="C29" s="19">
        <v>0</v>
      </c>
      <c r="D29" s="19"/>
      <c r="E29" s="19">
        <v>77699</v>
      </c>
      <c r="F29" s="19"/>
      <c r="G29" s="19">
        <v>40300</v>
      </c>
      <c r="H29" s="19"/>
      <c r="I29" s="19">
        <v>21408</v>
      </c>
      <c r="J29" s="19"/>
      <c r="K29" s="19">
        <f t="shared" si="0"/>
        <v>139407</v>
      </c>
      <c r="L29" s="19"/>
      <c r="M29" s="19">
        <v>134443</v>
      </c>
      <c r="N29" s="19"/>
      <c r="O29" s="19">
        <v>108</v>
      </c>
      <c r="P29" s="19"/>
      <c r="Q29" s="19">
        <v>4856</v>
      </c>
      <c r="R29" s="6"/>
    </row>
    <row r="30" spans="1:18" s="3" customFormat="1" ht="13.5" customHeight="1">
      <c r="A30" s="19" t="s">
        <v>39</v>
      </c>
      <c r="B30" s="20" t="s">
        <v>14</v>
      </c>
      <c r="C30" s="19">
        <v>0</v>
      </c>
      <c r="D30" s="19"/>
      <c r="E30" s="19">
        <v>0</v>
      </c>
      <c r="F30" s="19"/>
      <c r="G30" s="19">
        <v>4079</v>
      </c>
      <c r="H30" s="19"/>
      <c r="I30" s="19">
        <v>0</v>
      </c>
      <c r="J30" s="19"/>
      <c r="K30" s="19">
        <f t="shared" si="0"/>
        <v>4079</v>
      </c>
      <c r="L30" s="19"/>
      <c r="M30" s="19">
        <v>379</v>
      </c>
      <c r="N30" s="19"/>
      <c r="O30" s="19">
        <v>3700</v>
      </c>
      <c r="P30" s="19"/>
      <c r="Q30" s="19">
        <v>0</v>
      </c>
      <c r="R30" s="6"/>
    </row>
    <row r="31" spans="1:18" s="3" customFormat="1" ht="13.5" customHeight="1">
      <c r="A31" s="19" t="s">
        <v>177</v>
      </c>
      <c r="B31" s="20"/>
      <c r="C31" s="22">
        <v>0</v>
      </c>
      <c r="D31" s="19"/>
      <c r="E31" s="22">
        <v>0</v>
      </c>
      <c r="F31" s="19"/>
      <c r="G31" s="22">
        <v>2724</v>
      </c>
      <c r="H31" s="19"/>
      <c r="I31" s="22">
        <v>6067</v>
      </c>
      <c r="J31" s="19"/>
      <c r="K31" s="22">
        <f t="shared" si="0"/>
        <v>8791</v>
      </c>
      <c r="L31" s="19"/>
      <c r="M31" s="22">
        <v>3000</v>
      </c>
      <c r="N31" s="19"/>
      <c r="O31" s="22">
        <v>5791</v>
      </c>
      <c r="P31" s="19"/>
      <c r="Q31" s="22">
        <v>0</v>
      </c>
      <c r="R31" s="6"/>
    </row>
    <row r="32" spans="1:18" s="3" customFormat="1" ht="13.5" customHeight="1">
      <c r="A32" s="19" t="s">
        <v>144</v>
      </c>
      <c r="B32" s="20" t="s">
        <v>14</v>
      </c>
      <c r="C32" s="22">
        <f>SUM(C22:C31)</f>
        <v>1101417</v>
      </c>
      <c r="D32" s="19"/>
      <c r="E32" s="22">
        <f>SUM(E22:E31)</f>
        <v>77699</v>
      </c>
      <c r="F32" s="19"/>
      <c r="G32" s="22">
        <f>SUM(G22:G31)</f>
        <v>158696</v>
      </c>
      <c r="H32" s="19"/>
      <c r="I32" s="22">
        <f>SUM(I22:I31)</f>
        <v>28633</v>
      </c>
      <c r="J32" s="19"/>
      <c r="K32" s="23">
        <f t="shared" si="0"/>
        <v>1366445</v>
      </c>
      <c r="L32" s="19"/>
      <c r="M32" s="22">
        <f>SUM(M22:M31)</f>
        <v>1123385</v>
      </c>
      <c r="N32" s="19"/>
      <c r="O32" s="22">
        <f>SUM(O22:O31)</f>
        <v>204650</v>
      </c>
      <c r="P32" s="19"/>
      <c r="Q32" s="22">
        <f>SUM(Q22:Q31)</f>
        <v>38410</v>
      </c>
      <c r="R32" s="6"/>
    </row>
    <row r="33" spans="1:18" s="3" customFormat="1" ht="13.5" customHeight="1">
      <c r="A33" s="19"/>
      <c r="B33" s="20"/>
      <c r="C33" s="24"/>
      <c r="D33" s="19"/>
      <c r="E33" s="24"/>
      <c r="F33" s="19"/>
      <c r="G33" s="24"/>
      <c r="H33" s="19"/>
      <c r="I33" s="24"/>
      <c r="J33" s="19"/>
      <c r="K33" s="19"/>
      <c r="L33" s="19"/>
      <c r="M33" s="24"/>
      <c r="N33" s="19"/>
      <c r="O33" s="24"/>
      <c r="P33" s="19"/>
      <c r="Q33" s="24"/>
      <c r="R33" s="6"/>
    </row>
    <row r="34" spans="1:18" s="3" customFormat="1" ht="13.5" customHeight="1">
      <c r="A34" s="19" t="s">
        <v>195</v>
      </c>
      <c r="B34" s="20" t="s">
        <v>14</v>
      </c>
      <c r="C34" s="19" t="s">
        <v>14</v>
      </c>
      <c r="D34" s="19"/>
      <c r="E34" s="19" t="s">
        <v>14</v>
      </c>
      <c r="F34" s="19"/>
      <c r="G34" s="19" t="s">
        <v>14</v>
      </c>
      <c r="H34" s="19"/>
      <c r="I34" s="19" t="s">
        <v>14</v>
      </c>
      <c r="J34" s="19"/>
      <c r="K34" s="19"/>
      <c r="L34" s="19"/>
      <c r="M34" s="19" t="s">
        <v>14</v>
      </c>
      <c r="N34" s="19"/>
      <c r="O34" s="19" t="s">
        <v>14</v>
      </c>
      <c r="P34" s="19"/>
      <c r="Q34" s="19" t="s">
        <v>14</v>
      </c>
      <c r="R34" s="6"/>
    </row>
    <row r="35" spans="1:18" s="3" customFormat="1" ht="13.5" customHeight="1">
      <c r="A35" s="19" t="s">
        <v>93</v>
      </c>
      <c r="B35" s="20"/>
      <c r="C35" s="19">
        <v>0</v>
      </c>
      <c r="D35" s="19"/>
      <c r="E35" s="19">
        <v>0</v>
      </c>
      <c r="F35" s="19"/>
      <c r="G35" s="19">
        <v>5030</v>
      </c>
      <c r="H35" s="19"/>
      <c r="I35" s="19">
        <v>34807</v>
      </c>
      <c r="J35" s="19"/>
      <c r="K35" s="19">
        <f t="shared" si="0"/>
        <v>39837</v>
      </c>
      <c r="L35" s="19"/>
      <c r="M35" s="19">
        <v>0</v>
      </c>
      <c r="N35" s="19"/>
      <c r="O35" s="19">
        <f>39838-1</f>
        <v>39837</v>
      </c>
      <c r="P35" s="19"/>
      <c r="Q35" s="19">
        <v>0</v>
      </c>
      <c r="R35" s="6"/>
    </row>
    <row r="36" spans="1:18" s="3" customFormat="1" ht="13.5" customHeight="1">
      <c r="A36" s="19" t="s">
        <v>62</v>
      </c>
      <c r="B36" s="20" t="s">
        <v>14</v>
      </c>
      <c r="C36" s="19">
        <v>0</v>
      </c>
      <c r="D36" s="19"/>
      <c r="E36" s="19">
        <v>0</v>
      </c>
      <c r="F36" s="19"/>
      <c r="G36" s="19">
        <v>59726</v>
      </c>
      <c r="H36" s="19"/>
      <c r="I36" s="19">
        <v>26816</v>
      </c>
      <c r="J36" s="19"/>
      <c r="K36" s="19">
        <f t="shared" si="0"/>
        <v>86542</v>
      </c>
      <c r="L36" s="19"/>
      <c r="M36" s="19">
        <v>56280</v>
      </c>
      <c r="N36" s="19"/>
      <c r="O36" s="19">
        <v>30262</v>
      </c>
      <c r="P36" s="19"/>
      <c r="Q36" s="19">
        <v>0</v>
      </c>
      <c r="R36" s="6"/>
    </row>
    <row r="37" spans="1:18" s="3" customFormat="1" ht="13.5" customHeight="1">
      <c r="A37" s="19" t="s">
        <v>63</v>
      </c>
      <c r="B37" s="20" t="s">
        <v>14</v>
      </c>
      <c r="C37" s="19">
        <v>0</v>
      </c>
      <c r="D37" s="19"/>
      <c r="E37" s="19">
        <v>0</v>
      </c>
      <c r="F37" s="19"/>
      <c r="G37" s="19">
        <v>28275</v>
      </c>
      <c r="H37" s="19"/>
      <c r="I37" s="19">
        <v>0</v>
      </c>
      <c r="J37" s="19"/>
      <c r="K37" s="19">
        <f t="shared" si="0"/>
        <v>28275</v>
      </c>
      <c r="L37" s="19"/>
      <c r="M37" s="19">
        <v>17958</v>
      </c>
      <c r="N37" s="19"/>
      <c r="O37" s="19">
        <f>10316+1</f>
        <v>10317</v>
      </c>
      <c r="P37" s="19"/>
      <c r="Q37" s="19">
        <v>0</v>
      </c>
      <c r="R37" s="6"/>
    </row>
    <row r="38" spans="1:18" s="3" customFormat="1" ht="13.5" customHeight="1">
      <c r="A38" s="19" t="s">
        <v>38</v>
      </c>
      <c r="B38" s="20" t="s">
        <v>14</v>
      </c>
      <c r="C38" s="19">
        <v>0</v>
      </c>
      <c r="D38" s="19"/>
      <c r="E38" s="19">
        <v>25268</v>
      </c>
      <c r="F38" s="19"/>
      <c r="G38" s="19">
        <v>0</v>
      </c>
      <c r="H38" s="19"/>
      <c r="I38" s="19">
        <v>0</v>
      </c>
      <c r="J38" s="19"/>
      <c r="K38" s="19">
        <f t="shared" si="0"/>
        <v>25268</v>
      </c>
      <c r="L38" s="19"/>
      <c r="M38" s="19">
        <v>23689</v>
      </c>
      <c r="N38" s="19"/>
      <c r="O38" s="19">
        <v>0</v>
      </c>
      <c r="P38" s="19"/>
      <c r="Q38" s="19">
        <v>1579</v>
      </c>
      <c r="R38" s="6"/>
    </row>
    <row r="39" spans="1:18" s="3" customFormat="1" ht="13.5" customHeight="1">
      <c r="A39" s="19" t="s">
        <v>64</v>
      </c>
      <c r="B39" s="20" t="s">
        <v>14</v>
      </c>
      <c r="C39" s="22">
        <v>0</v>
      </c>
      <c r="D39" s="19"/>
      <c r="E39" s="22">
        <v>0</v>
      </c>
      <c r="F39" s="19"/>
      <c r="G39" s="22">
        <v>53276</v>
      </c>
      <c r="H39" s="19"/>
      <c r="I39" s="22">
        <v>70543</v>
      </c>
      <c r="J39" s="19"/>
      <c r="K39" s="22">
        <f t="shared" si="0"/>
        <v>123819</v>
      </c>
      <c r="L39" s="19"/>
      <c r="M39" s="19">
        <v>70685</v>
      </c>
      <c r="N39" s="19"/>
      <c r="O39" s="22">
        <v>53134</v>
      </c>
      <c r="P39" s="19"/>
      <c r="Q39" s="22">
        <v>0</v>
      </c>
      <c r="R39" s="6"/>
    </row>
    <row r="40" spans="1:18" s="3" customFormat="1" ht="13.5" customHeight="1">
      <c r="A40" s="19" t="s">
        <v>217</v>
      </c>
      <c r="B40" s="20" t="s">
        <v>14</v>
      </c>
      <c r="C40" s="22">
        <f>SUM(C35:C39)</f>
        <v>0</v>
      </c>
      <c r="D40" s="19"/>
      <c r="E40" s="22">
        <f>SUM(E35:E39)</f>
        <v>25268</v>
      </c>
      <c r="F40" s="19"/>
      <c r="G40" s="22">
        <f>SUM(G35:G39)</f>
        <v>146307</v>
      </c>
      <c r="H40" s="19"/>
      <c r="I40" s="22">
        <f>SUM(I35:I39)</f>
        <v>132166</v>
      </c>
      <c r="J40" s="19"/>
      <c r="K40" s="23">
        <f>SUM(K35:K39)</f>
        <v>303741</v>
      </c>
      <c r="L40" s="19"/>
      <c r="M40" s="23">
        <f>SUM(M35:M39)</f>
        <v>168612</v>
      </c>
      <c r="N40" s="19"/>
      <c r="O40" s="22">
        <f>SUM(O35:O39)</f>
        <v>133550</v>
      </c>
      <c r="P40" s="19"/>
      <c r="Q40" s="22">
        <f>SUM(Q35:Q39)</f>
        <v>1579</v>
      </c>
      <c r="R40" s="6"/>
    </row>
    <row r="41" spans="1:18" s="3" customFormat="1" ht="13.5" customHeight="1">
      <c r="A41" s="19"/>
      <c r="B41" s="20" t="s">
        <v>14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6"/>
    </row>
    <row r="42" spans="1:18" s="3" customFormat="1" ht="13.5" customHeight="1">
      <c r="A42" s="19" t="s">
        <v>13</v>
      </c>
      <c r="B42" s="20" t="s">
        <v>14</v>
      </c>
      <c r="C42" s="19" t="s">
        <v>14</v>
      </c>
      <c r="D42" s="19"/>
      <c r="E42" s="19" t="s">
        <v>14</v>
      </c>
      <c r="F42" s="19"/>
      <c r="G42" s="19" t="s">
        <v>14</v>
      </c>
      <c r="H42" s="19"/>
      <c r="I42" s="19" t="s">
        <v>14</v>
      </c>
      <c r="J42" s="19"/>
      <c r="K42" s="19"/>
      <c r="L42" s="19"/>
      <c r="M42" s="19" t="s">
        <v>15</v>
      </c>
      <c r="N42" s="19"/>
      <c r="O42" s="19" t="s">
        <v>14</v>
      </c>
      <c r="P42" s="19"/>
      <c r="Q42" s="19" t="s">
        <v>14</v>
      </c>
      <c r="R42" s="6"/>
    </row>
    <row r="43" spans="1:18" s="3" customFormat="1" ht="13.5" customHeight="1">
      <c r="A43" s="19" t="s">
        <v>40</v>
      </c>
      <c r="B43" s="20" t="s">
        <v>14</v>
      </c>
      <c r="C43" s="19">
        <v>0</v>
      </c>
      <c r="D43" s="19"/>
      <c r="E43" s="19">
        <v>0</v>
      </c>
      <c r="F43" s="19"/>
      <c r="G43" s="19">
        <v>18130</v>
      </c>
      <c r="H43" s="19"/>
      <c r="I43" s="19">
        <v>0</v>
      </c>
      <c r="J43" s="19"/>
      <c r="K43" s="19">
        <f t="shared" si="0"/>
        <v>18130</v>
      </c>
      <c r="L43" s="19"/>
      <c r="M43" s="19">
        <v>15000</v>
      </c>
      <c r="N43" s="19"/>
      <c r="O43" s="19">
        <v>3130</v>
      </c>
      <c r="P43" s="19"/>
      <c r="Q43" s="19">
        <v>0</v>
      </c>
      <c r="R43" s="6"/>
    </row>
    <row r="44" spans="1:18" s="3" customFormat="1" ht="13.5" customHeight="1">
      <c r="A44" s="19" t="s">
        <v>139</v>
      </c>
      <c r="B44" s="20"/>
      <c r="C44" s="19">
        <v>0</v>
      </c>
      <c r="D44" s="19"/>
      <c r="E44" s="19">
        <v>0</v>
      </c>
      <c r="F44" s="19"/>
      <c r="G44" s="19">
        <v>6856</v>
      </c>
      <c r="H44" s="19"/>
      <c r="I44" s="19">
        <v>0</v>
      </c>
      <c r="J44" s="19"/>
      <c r="K44" s="19">
        <f t="shared" si="0"/>
        <v>6856</v>
      </c>
      <c r="L44" s="19"/>
      <c r="M44" s="19">
        <v>0</v>
      </c>
      <c r="N44" s="19"/>
      <c r="O44" s="19">
        <v>6856</v>
      </c>
      <c r="P44" s="19"/>
      <c r="Q44" s="19">
        <v>0</v>
      </c>
      <c r="R44" s="6"/>
    </row>
    <row r="45" spans="1:18" s="3" customFormat="1" ht="13.5" customHeight="1">
      <c r="A45" s="19" t="s">
        <v>41</v>
      </c>
      <c r="B45" s="20" t="s">
        <v>14</v>
      </c>
      <c r="C45" s="19">
        <v>-1213</v>
      </c>
      <c r="D45" s="19"/>
      <c r="E45" s="19">
        <v>0</v>
      </c>
      <c r="F45" s="19"/>
      <c r="G45" s="19">
        <v>27039</v>
      </c>
      <c r="H45" s="19"/>
      <c r="I45" s="19">
        <v>4115</v>
      </c>
      <c r="J45" s="19"/>
      <c r="K45" s="19">
        <f t="shared" si="0"/>
        <v>29941</v>
      </c>
      <c r="L45" s="19"/>
      <c r="M45" s="19">
        <v>27331</v>
      </c>
      <c r="N45" s="19"/>
      <c r="O45" s="19">
        <v>2610</v>
      </c>
      <c r="P45" s="19"/>
      <c r="Q45" s="19">
        <v>0</v>
      </c>
      <c r="R45" s="6"/>
    </row>
    <row r="46" spans="1:18" s="3" customFormat="1" ht="13.5" customHeight="1">
      <c r="A46" s="19" t="s">
        <v>42</v>
      </c>
      <c r="B46" s="20" t="s">
        <v>14</v>
      </c>
      <c r="C46" s="19">
        <v>0</v>
      </c>
      <c r="D46" s="19"/>
      <c r="E46" s="19">
        <v>0</v>
      </c>
      <c r="F46" s="19"/>
      <c r="G46" s="19">
        <v>121520</v>
      </c>
      <c r="H46" s="19"/>
      <c r="I46" s="19">
        <v>0</v>
      </c>
      <c r="J46" s="19"/>
      <c r="K46" s="19">
        <f t="shared" si="0"/>
        <v>121520</v>
      </c>
      <c r="L46" s="19"/>
      <c r="M46" s="19">
        <v>80895</v>
      </c>
      <c r="N46" s="19"/>
      <c r="O46" s="19">
        <v>2352</v>
      </c>
      <c r="P46" s="19"/>
      <c r="Q46" s="19">
        <v>38273</v>
      </c>
      <c r="R46" s="6"/>
    </row>
    <row r="47" spans="1:18" s="3" customFormat="1" ht="13.5" customHeight="1">
      <c r="A47" s="19" t="s">
        <v>272</v>
      </c>
      <c r="B47" s="20"/>
      <c r="C47" s="19">
        <v>32886</v>
      </c>
      <c r="D47" s="19"/>
      <c r="E47" s="19">
        <v>0</v>
      </c>
      <c r="F47" s="19"/>
      <c r="G47" s="19">
        <v>0</v>
      </c>
      <c r="H47" s="19"/>
      <c r="I47" s="19">
        <v>0</v>
      </c>
      <c r="J47" s="19"/>
      <c r="K47" s="19">
        <f t="shared" si="0"/>
        <v>32886</v>
      </c>
      <c r="L47" s="19"/>
      <c r="M47" s="19">
        <v>0</v>
      </c>
      <c r="N47" s="19"/>
      <c r="O47" s="19">
        <v>32886</v>
      </c>
      <c r="P47" s="19"/>
      <c r="Q47" s="19">
        <v>0</v>
      </c>
      <c r="R47" s="6"/>
    </row>
    <row r="48" spans="1:18" s="3" customFormat="1" ht="13.5" customHeight="1">
      <c r="A48" s="19" t="s">
        <v>43</v>
      </c>
      <c r="B48" s="20" t="s">
        <v>14</v>
      </c>
      <c r="C48" s="19">
        <v>4907</v>
      </c>
      <c r="D48" s="19"/>
      <c r="E48" s="19">
        <v>0</v>
      </c>
      <c r="F48" s="19"/>
      <c r="G48" s="19">
        <v>40952</v>
      </c>
      <c r="H48" s="19"/>
      <c r="I48" s="19">
        <v>0</v>
      </c>
      <c r="J48" s="19"/>
      <c r="K48" s="19">
        <f t="shared" si="0"/>
        <v>45859</v>
      </c>
      <c r="L48" s="19"/>
      <c r="M48" s="19">
        <v>22172</v>
      </c>
      <c r="N48" s="19"/>
      <c r="O48" s="19">
        <v>23687</v>
      </c>
      <c r="P48" s="19"/>
      <c r="Q48" s="19">
        <v>0</v>
      </c>
      <c r="R48" s="6"/>
    </row>
    <row r="49" spans="1:18" s="3" customFormat="1" ht="13.5" customHeight="1">
      <c r="A49" s="19" t="s">
        <v>44</v>
      </c>
      <c r="B49" s="20" t="s">
        <v>14</v>
      </c>
      <c r="C49" s="19">
        <v>0</v>
      </c>
      <c r="D49" s="19"/>
      <c r="E49" s="19">
        <v>0</v>
      </c>
      <c r="F49" s="19"/>
      <c r="G49" s="19">
        <v>104817</v>
      </c>
      <c r="H49" s="19"/>
      <c r="I49" s="19">
        <v>23708</v>
      </c>
      <c r="J49" s="19"/>
      <c r="K49" s="19">
        <f t="shared" si="0"/>
        <v>128525</v>
      </c>
      <c r="L49" s="19"/>
      <c r="M49" s="19">
        <v>68452</v>
      </c>
      <c r="N49" s="19"/>
      <c r="O49" s="19">
        <f>42410-1</f>
        <v>42409</v>
      </c>
      <c r="P49" s="19"/>
      <c r="Q49" s="19">
        <v>17664</v>
      </c>
      <c r="R49" s="6"/>
    </row>
    <row r="50" spans="1:18" s="3" customFormat="1" ht="13.5" customHeight="1">
      <c r="A50" s="19" t="s">
        <v>45</v>
      </c>
      <c r="B50" s="20" t="s">
        <v>14</v>
      </c>
      <c r="C50" s="19">
        <v>0</v>
      </c>
      <c r="D50" s="19"/>
      <c r="E50" s="19">
        <v>0</v>
      </c>
      <c r="F50" s="19"/>
      <c r="G50" s="19">
        <v>55400</v>
      </c>
      <c r="H50" s="19"/>
      <c r="I50" s="19">
        <v>16483</v>
      </c>
      <c r="J50" s="19"/>
      <c r="K50" s="19">
        <f t="shared" si="0"/>
        <v>71883</v>
      </c>
      <c r="L50" s="19"/>
      <c r="M50" s="19">
        <v>59200</v>
      </c>
      <c r="N50" s="19"/>
      <c r="O50" s="19">
        <v>12683</v>
      </c>
      <c r="P50" s="19"/>
      <c r="Q50" s="19">
        <v>0</v>
      </c>
      <c r="R50" s="6"/>
    </row>
    <row r="51" spans="1:18" s="3" customFormat="1" ht="13.5" customHeight="1">
      <c r="A51" s="19" t="s">
        <v>38</v>
      </c>
      <c r="B51" s="20" t="s">
        <v>14</v>
      </c>
      <c r="C51" s="19">
        <v>22727</v>
      </c>
      <c r="D51" s="19"/>
      <c r="E51" s="19">
        <v>107344</v>
      </c>
      <c r="F51" s="19"/>
      <c r="G51" s="19">
        <v>11167</v>
      </c>
      <c r="H51" s="19"/>
      <c r="I51" s="19">
        <v>0</v>
      </c>
      <c r="J51" s="19"/>
      <c r="K51" s="19">
        <f t="shared" si="0"/>
        <v>141238</v>
      </c>
      <c r="L51" s="19"/>
      <c r="M51" s="19">
        <v>118235</v>
      </c>
      <c r="N51" s="19"/>
      <c r="O51" s="19">
        <f>16066+1</f>
        <v>16067</v>
      </c>
      <c r="P51" s="19"/>
      <c r="Q51" s="19">
        <v>6936</v>
      </c>
      <c r="R51" s="6"/>
    </row>
    <row r="52" spans="1:18" s="3" customFormat="1" ht="13.5" customHeight="1">
      <c r="A52" s="19" t="s">
        <v>47</v>
      </c>
      <c r="B52" s="20" t="s">
        <v>14</v>
      </c>
      <c r="C52" s="19">
        <v>0</v>
      </c>
      <c r="D52" s="19"/>
      <c r="E52" s="19">
        <v>0</v>
      </c>
      <c r="F52" s="19"/>
      <c r="G52" s="19">
        <v>0</v>
      </c>
      <c r="H52" s="19"/>
      <c r="I52" s="19">
        <v>1724</v>
      </c>
      <c r="J52" s="19"/>
      <c r="K52" s="19">
        <f t="shared" si="0"/>
        <v>1724</v>
      </c>
      <c r="L52" s="19"/>
      <c r="M52" s="19">
        <v>1000</v>
      </c>
      <c r="N52" s="19"/>
      <c r="O52" s="19">
        <v>724</v>
      </c>
      <c r="P52" s="19"/>
      <c r="Q52" s="19">
        <v>0</v>
      </c>
      <c r="R52" s="6"/>
    </row>
    <row r="53" spans="1:18" s="3" customFormat="1" ht="13.5" customHeight="1">
      <c r="A53" s="19" t="s">
        <v>259</v>
      </c>
      <c r="B53" s="20" t="s">
        <v>14</v>
      </c>
      <c r="C53" s="19">
        <v>0</v>
      </c>
      <c r="D53" s="19"/>
      <c r="E53" s="19">
        <v>0</v>
      </c>
      <c r="F53" s="19"/>
      <c r="G53" s="19">
        <v>12400</v>
      </c>
      <c r="H53" s="19"/>
      <c r="I53" s="19">
        <v>0</v>
      </c>
      <c r="J53" s="19"/>
      <c r="K53" s="19">
        <f t="shared" si="0"/>
        <v>12400</v>
      </c>
      <c r="L53" s="19"/>
      <c r="M53" s="19">
        <v>12400</v>
      </c>
      <c r="N53" s="19"/>
      <c r="O53" s="19">
        <v>0</v>
      </c>
      <c r="P53" s="19"/>
      <c r="Q53" s="19">
        <v>0</v>
      </c>
      <c r="R53" s="6"/>
    </row>
    <row r="54" spans="1:18" s="3" customFormat="1" ht="13.5" customHeight="1">
      <c r="A54" s="19" t="s">
        <v>260</v>
      </c>
      <c r="B54" s="20"/>
      <c r="C54" s="19">
        <v>107930</v>
      </c>
      <c r="D54" s="19"/>
      <c r="E54" s="19">
        <v>0</v>
      </c>
      <c r="F54" s="19"/>
      <c r="G54" s="19">
        <v>56530</v>
      </c>
      <c r="H54" s="19"/>
      <c r="I54" s="19">
        <v>0</v>
      </c>
      <c r="J54" s="19"/>
      <c r="K54" s="19">
        <f t="shared" si="0"/>
        <v>164460</v>
      </c>
      <c r="L54" s="19"/>
      <c r="M54" s="19">
        <v>163015</v>
      </c>
      <c r="N54" s="19"/>
      <c r="O54" s="19">
        <f>1444+1</f>
        <v>1445</v>
      </c>
      <c r="P54" s="19"/>
      <c r="Q54" s="19">
        <v>0</v>
      </c>
      <c r="R54" s="6"/>
    </row>
    <row r="55" spans="1:18" s="3" customFormat="1" ht="13.5" customHeight="1">
      <c r="A55" s="19" t="s">
        <v>145</v>
      </c>
      <c r="B55" s="20" t="s">
        <v>14</v>
      </c>
      <c r="C55" s="23">
        <f>SUM(C43:C54)</f>
        <v>167237</v>
      </c>
      <c r="D55" s="19"/>
      <c r="E55" s="23">
        <f>SUM(E43:E54)</f>
        <v>107344</v>
      </c>
      <c r="F55" s="19"/>
      <c r="G55" s="23">
        <f>SUM(G43:G54)</f>
        <v>454811</v>
      </c>
      <c r="H55" s="19"/>
      <c r="I55" s="23">
        <f>SUM(I43:I54)</f>
        <v>46030</v>
      </c>
      <c r="J55" s="19"/>
      <c r="K55" s="23">
        <f t="shared" si="0"/>
        <v>775422</v>
      </c>
      <c r="L55" s="19"/>
      <c r="M55" s="23">
        <f>SUM(M43:M54)</f>
        <v>567700</v>
      </c>
      <c r="N55" s="19"/>
      <c r="O55" s="23">
        <f>SUM(O43:O54)</f>
        <v>144849</v>
      </c>
      <c r="P55" s="19"/>
      <c r="Q55" s="23">
        <f>SUM(Q43:Q54)</f>
        <v>62873</v>
      </c>
      <c r="R55" s="6"/>
    </row>
    <row r="56" spans="1:18" s="3" customFormat="1" ht="13.5" customHeight="1">
      <c r="A56" s="19"/>
      <c r="B56" s="20" t="s">
        <v>14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6"/>
    </row>
    <row r="57" spans="1:18" s="3" customFormat="1" ht="13.5" customHeight="1">
      <c r="A57" s="19" t="s">
        <v>16</v>
      </c>
      <c r="B57" s="24">
        <f>SUM(B52:B56)</f>
        <v>0</v>
      </c>
      <c r="C57" s="19" t="s">
        <v>14</v>
      </c>
      <c r="D57" s="19"/>
      <c r="E57" s="19" t="s">
        <v>14</v>
      </c>
      <c r="F57" s="19"/>
      <c r="G57" s="19" t="s">
        <v>14</v>
      </c>
      <c r="H57" s="19"/>
      <c r="I57" s="19" t="s">
        <v>14</v>
      </c>
      <c r="J57" s="19"/>
      <c r="K57" s="19"/>
      <c r="L57" s="19"/>
      <c r="M57" s="19" t="s">
        <v>14</v>
      </c>
      <c r="N57" s="19"/>
      <c r="O57" s="19" t="s">
        <v>14</v>
      </c>
      <c r="P57" s="19"/>
      <c r="Q57" s="19" t="s">
        <v>14</v>
      </c>
      <c r="R57" s="6"/>
    </row>
    <row r="58" spans="1:18" s="3" customFormat="1" ht="13.5" customHeight="1">
      <c r="A58" s="19" t="s">
        <v>50</v>
      </c>
      <c r="B58" s="20" t="s">
        <v>14</v>
      </c>
      <c r="C58" s="19">
        <v>0</v>
      </c>
      <c r="D58" s="19"/>
      <c r="E58" s="19">
        <v>32555</v>
      </c>
      <c r="F58" s="19"/>
      <c r="G58" s="19">
        <v>591915</v>
      </c>
      <c r="H58" s="19"/>
      <c r="I58" s="19">
        <v>71525</v>
      </c>
      <c r="J58" s="19"/>
      <c r="K58" s="19">
        <f t="shared" si="0"/>
        <v>695995</v>
      </c>
      <c r="L58" s="19"/>
      <c r="M58" s="19">
        <v>603506</v>
      </c>
      <c r="N58" s="19"/>
      <c r="O58" s="19">
        <f>83925-1</f>
        <v>83924</v>
      </c>
      <c r="P58" s="19"/>
      <c r="Q58" s="19">
        <v>8565</v>
      </c>
      <c r="R58" s="6"/>
    </row>
    <row r="59" spans="1:18" s="3" customFormat="1" ht="13.5" customHeight="1">
      <c r="A59" s="19" t="s">
        <v>51</v>
      </c>
      <c r="B59" s="20" t="s">
        <v>14</v>
      </c>
      <c r="C59" s="19">
        <v>0</v>
      </c>
      <c r="D59" s="19"/>
      <c r="E59" s="19">
        <v>0</v>
      </c>
      <c r="F59" s="19"/>
      <c r="G59" s="19">
        <v>12429</v>
      </c>
      <c r="H59" s="19"/>
      <c r="I59" s="19">
        <v>0</v>
      </c>
      <c r="J59" s="19"/>
      <c r="K59" s="19">
        <f t="shared" si="0"/>
        <v>12429</v>
      </c>
      <c r="L59" s="19"/>
      <c r="M59" s="19">
        <v>12400</v>
      </c>
      <c r="N59" s="19"/>
      <c r="O59" s="19">
        <v>29</v>
      </c>
      <c r="P59" s="19"/>
      <c r="Q59" s="19">
        <v>0</v>
      </c>
      <c r="R59" s="6"/>
    </row>
    <row r="60" spans="1:18" s="3" customFormat="1" ht="13.5" customHeight="1">
      <c r="A60" s="19" t="s">
        <v>52</v>
      </c>
      <c r="B60" s="20" t="s">
        <v>14</v>
      </c>
      <c r="C60" s="19">
        <v>0</v>
      </c>
      <c r="D60" s="19"/>
      <c r="E60" s="19">
        <v>0</v>
      </c>
      <c r="F60" s="19"/>
      <c r="G60" s="19">
        <v>69535</v>
      </c>
      <c r="H60" s="19"/>
      <c r="I60" s="19">
        <v>0</v>
      </c>
      <c r="J60" s="19"/>
      <c r="K60" s="19">
        <f>IF(SUM(C60:I60)=SUM(M60:Q60),SUM(C60:I60),SUM(M60:Q60)-SUM(C60:I60))</f>
        <v>69535</v>
      </c>
      <c r="L60" s="19"/>
      <c r="M60" s="19">
        <v>66855</v>
      </c>
      <c r="N60" s="19"/>
      <c r="O60" s="19">
        <v>2680</v>
      </c>
      <c r="P60" s="19"/>
      <c r="Q60" s="19">
        <v>0</v>
      </c>
      <c r="R60" s="6"/>
    </row>
    <row r="61" spans="1:18" s="3" customFormat="1" ht="13.5" customHeight="1">
      <c r="A61" s="19" t="s">
        <v>53</v>
      </c>
      <c r="B61" s="20" t="s">
        <v>14</v>
      </c>
      <c r="C61" s="19">
        <v>0</v>
      </c>
      <c r="D61" s="19"/>
      <c r="E61" s="19">
        <v>245274</v>
      </c>
      <c r="F61" s="19"/>
      <c r="G61" s="19">
        <v>96759</v>
      </c>
      <c r="H61" s="19"/>
      <c r="I61" s="19">
        <v>43877</v>
      </c>
      <c r="J61" s="19"/>
      <c r="K61" s="19">
        <f t="shared" si="0"/>
        <v>385910</v>
      </c>
      <c r="L61" s="19"/>
      <c r="M61" s="19">
        <v>109486</v>
      </c>
      <c r="N61" s="19"/>
      <c r="O61" s="19">
        <v>258256</v>
      </c>
      <c r="P61" s="19"/>
      <c r="Q61" s="19">
        <v>18168</v>
      </c>
      <c r="R61" s="6"/>
    </row>
    <row r="62" spans="1:18" s="3" customFormat="1" ht="13.5" customHeight="1">
      <c r="A62" s="19" t="s">
        <v>38</v>
      </c>
      <c r="B62" s="20" t="s">
        <v>14</v>
      </c>
      <c r="C62" s="19">
        <v>0</v>
      </c>
      <c r="D62" s="19"/>
      <c r="E62" s="19">
        <v>78193</v>
      </c>
      <c r="F62" s="19"/>
      <c r="G62" s="19">
        <v>14123</v>
      </c>
      <c r="H62" s="19"/>
      <c r="I62" s="19">
        <v>9498</v>
      </c>
      <c r="J62" s="19"/>
      <c r="K62" s="19">
        <f t="shared" si="0"/>
        <v>101814</v>
      </c>
      <c r="L62" s="19"/>
      <c r="M62" s="19">
        <v>93998</v>
      </c>
      <c r="N62" s="19"/>
      <c r="O62" s="19">
        <f>2928+1</f>
        <v>2929</v>
      </c>
      <c r="P62" s="19"/>
      <c r="Q62" s="19">
        <v>4887</v>
      </c>
      <c r="R62" s="6"/>
    </row>
    <row r="63" spans="1:18" s="3" customFormat="1" ht="13.5" customHeight="1">
      <c r="A63" s="19" t="s">
        <v>46</v>
      </c>
      <c r="B63" s="20"/>
      <c r="C63" s="19">
        <v>668114</v>
      </c>
      <c r="D63" s="19"/>
      <c r="E63" s="19">
        <v>354578</v>
      </c>
      <c r="F63" s="19"/>
      <c r="G63" s="19">
        <v>42800</v>
      </c>
      <c r="H63" s="19"/>
      <c r="I63" s="19">
        <v>0</v>
      </c>
      <c r="J63" s="19"/>
      <c r="K63" s="19">
        <f t="shared" si="0"/>
        <v>1065492</v>
      </c>
      <c r="L63" s="19"/>
      <c r="M63" s="19">
        <v>496858</v>
      </c>
      <c r="N63" s="19"/>
      <c r="O63" s="19">
        <f>520705-1</f>
        <v>520704</v>
      </c>
      <c r="P63" s="19"/>
      <c r="Q63" s="19">
        <v>47930</v>
      </c>
      <c r="R63" s="6"/>
    </row>
    <row r="64" spans="1:18" s="3" customFormat="1" ht="13.5" customHeight="1">
      <c r="A64" s="19" t="s">
        <v>54</v>
      </c>
      <c r="B64" s="20" t="s">
        <v>14</v>
      </c>
      <c r="C64" s="22">
        <v>67869</v>
      </c>
      <c r="D64" s="19"/>
      <c r="E64" s="22">
        <v>204492</v>
      </c>
      <c r="F64" s="19"/>
      <c r="G64" s="22">
        <v>32294</v>
      </c>
      <c r="H64" s="19"/>
      <c r="I64" s="22">
        <v>0</v>
      </c>
      <c r="J64" s="19"/>
      <c r="K64" s="22">
        <f t="shared" si="0"/>
        <v>304655</v>
      </c>
      <c r="L64" s="19"/>
      <c r="M64" s="22">
        <v>131156</v>
      </c>
      <c r="N64" s="19"/>
      <c r="O64" s="22">
        <f>103104+1</f>
        <v>103105</v>
      </c>
      <c r="P64" s="19"/>
      <c r="Q64" s="22">
        <v>70394</v>
      </c>
      <c r="R64" s="6"/>
    </row>
    <row r="65" spans="1:18" s="3" customFormat="1" ht="13.5" customHeight="1">
      <c r="A65" s="19" t="s">
        <v>146</v>
      </c>
      <c r="B65" s="20" t="s">
        <v>14</v>
      </c>
      <c r="C65" s="22">
        <f>SUM(C58:C64)</f>
        <v>735983</v>
      </c>
      <c r="D65" s="19"/>
      <c r="E65" s="22">
        <f>SUM(E58:E64)</f>
        <v>915092</v>
      </c>
      <c r="F65" s="19"/>
      <c r="G65" s="22">
        <f>SUM(G58:G64)</f>
        <v>859855</v>
      </c>
      <c r="H65" s="19"/>
      <c r="I65" s="22">
        <f>SUM(I58:I64)</f>
        <v>124900</v>
      </c>
      <c r="J65" s="19"/>
      <c r="K65" s="23">
        <f t="shared" si="0"/>
        <v>2635830</v>
      </c>
      <c r="L65" s="19"/>
      <c r="M65" s="22">
        <f>SUM(M58:M64)</f>
        <v>1514259</v>
      </c>
      <c r="N65" s="19"/>
      <c r="O65" s="22">
        <f>SUM(O58:O64)</f>
        <v>971627</v>
      </c>
      <c r="P65" s="19"/>
      <c r="Q65" s="22">
        <f>SUM(Q58:Q64)</f>
        <v>149944</v>
      </c>
      <c r="R65" s="6"/>
    </row>
    <row r="66" spans="1:18" s="3" customFormat="1" ht="13.5" customHeight="1">
      <c r="A66" s="19"/>
      <c r="B66" s="20" t="s">
        <v>14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6"/>
    </row>
    <row r="67" spans="1:18" s="3" customFormat="1" ht="13.5" customHeight="1">
      <c r="A67" s="19" t="s">
        <v>285</v>
      </c>
      <c r="B67" s="20" t="s">
        <v>14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 t="s">
        <v>14</v>
      </c>
      <c r="P67" s="19"/>
      <c r="Q67" s="19" t="s">
        <v>14</v>
      </c>
      <c r="R67" s="6"/>
    </row>
    <row r="68" spans="1:18" s="3" customFormat="1" ht="13.5" customHeight="1">
      <c r="A68" s="19" t="s">
        <v>55</v>
      </c>
      <c r="B68" s="20" t="s">
        <v>14</v>
      </c>
      <c r="C68" s="19">
        <v>0</v>
      </c>
      <c r="D68" s="19"/>
      <c r="E68" s="19">
        <v>0</v>
      </c>
      <c r="F68" s="19"/>
      <c r="G68" s="19">
        <v>163157</v>
      </c>
      <c r="H68" s="19"/>
      <c r="I68" s="19">
        <v>54916</v>
      </c>
      <c r="J68" s="19"/>
      <c r="K68" s="19">
        <f>IF(SUM(C68:I68)=SUM(M68:Q68),SUM(C68:I68),SUM(M68:Q68)-SUM(C68:I68))</f>
        <v>218073</v>
      </c>
      <c r="L68" s="19"/>
      <c r="M68" s="19">
        <v>132112</v>
      </c>
      <c r="N68" s="19"/>
      <c r="O68" s="19">
        <v>85961</v>
      </c>
      <c r="P68" s="19"/>
      <c r="Q68" s="19">
        <v>0</v>
      </c>
      <c r="R68" s="6"/>
    </row>
    <row r="69" spans="1:18" s="3" customFormat="1" ht="13.5" customHeight="1">
      <c r="A69" s="19" t="s">
        <v>56</v>
      </c>
      <c r="B69" s="20" t="s">
        <v>14</v>
      </c>
      <c r="C69" s="19">
        <v>0</v>
      </c>
      <c r="D69" s="19"/>
      <c r="E69" s="19">
        <v>0</v>
      </c>
      <c r="F69" s="19"/>
      <c r="G69" s="19">
        <v>102142</v>
      </c>
      <c r="H69" s="19"/>
      <c r="I69" s="19">
        <v>38664</v>
      </c>
      <c r="J69" s="19"/>
      <c r="K69" s="19">
        <f t="shared" si="0"/>
        <v>140806</v>
      </c>
      <c r="L69" s="19"/>
      <c r="M69" s="19">
        <v>112793</v>
      </c>
      <c r="N69" s="19"/>
      <c r="O69" s="19">
        <v>28013</v>
      </c>
      <c r="P69" s="19"/>
      <c r="Q69" s="19">
        <v>0</v>
      </c>
      <c r="R69" s="6"/>
    </row>
    <row r="70" spans="1:18" s="3" customFormat="1" ht="13.5" customHeight="1">
      <c r="A70" s="19" t="s">
        <v>57</v>
      </c>
      <c r="B70" s="20" t="s">
        <v>14</v>
      </c>
      <c r="C70" s="19">
        <v>0</v>
      </c>
      <c r="D70" s="19"/>
      <c r="E70" s="19">
        <v>0</v>
      </c>
      <c r="F70" s="19"/>
      <c r="G70" s="19">
        <v>0</v>
      </c>
      <c r="H70" s="19"/>
      <c r="I70" s="19">
        <v>3467</v>
      </c>
      <c r="J70" s="19"/>
      <c r="K70" s="19">
        <f t="shared" si="0"/>
        <v>3467</v>
      </c>
      <c r="L70" s="19"/>
      <c r="M70" s="19">
        <v>1623</v>
      </c>
      <c r="N70" s="19"/>
      <c r="O70" s="19">
        <f>1845-1</f>
        <v>1844</v>
      </c>
      <c r="P70" s="19"/>
      <c r="Q70" s="19">
        <v>0</v>
      </c>
      <c r="R70" s="6"/>
    </row>
    <row r="71" spans="1:18" s="3" customFormat="1" ht="13.5" customHeight="1">
      <c r="A71" s="19" t="s">
        <v>58</v>
      </c>
      <c r="B71" s="20" t="s">
        <v>14</v>
      </c>
      <c r="C71" s="19">
        <v>0</v>
      </c>
      <c r="D71" s="19"/>
      <c r="E71" s="19">
        <v>0</v>
      </c>
      <c r="F71" s="19"/>
      <c r="G71" s="19">
        <v>283009</v>
      </c>
      <c r="H71" s="19"/>
      <c r="I71" s="19">
        <v>52776</v>
      </c>
      <c r="J71" s="19"/>
      <c r="K71" s="19">
        <f t="shared" si="0"/>
        <v>335785</v>
      </c>
      <c r="L71" s="19"/>
      <c r="M71" s="19">
        <v>304906</v>
      </c>
      <c r="N71" s="19"/>
      <c r="O71" s="19">
        <f>30880-1</f>
        <v>30879</v>
      </c>
      <c r="P71" s="19"/>
      <c r="Q71" s="19">
        <v>0</v>
      </c>
      <c r="R71" s="6"/>
    </row>
    <row r="72" spans="1:18" s="3" customFormat="1" ht="13.5" customHeight="1">
      <c r="A72" s="19" t="s">
        <v>180</v>
      </c>
      <c r="B72" s="20" t="s">
        <v>14</v>
      </c>
      <c r="C72" s="19">
        <v>0</v>
      </c>
      <c r="D72" s="19"/>
      <c r="E72" s="19">
        <v>8293</v>
      </c>
      <c r="F72" s="19"/>
      <c r="G72" s="19">
        <v>217227</v>
      </c>
      <c r="H72" s="19"/>
      <c r="I72" s="19">
        <v>1070</v>
      </c>
      <c r="J72" s="19"/>
      <c r="K72" s="19">
        <f t="shared" si="0"/>
        <v>226590</v>
      </c>
      <c r="L72" s="19"/>
      <c r="M72" s="19">
        <v>211091</v>
      </c>
      <c r="N72" s="19"/>
      <c r="O72" s="19">
        <v>14885</v>
      </c>
      <c r="P72" s="19"/>
      <c r="Q72" s="19">
        <v>614</v>
      </c>
      <c r="R72" s="6"/>
    </row>
    <row r="73" spans="1:18" s="3" customFormat="1" ht="13.5" customHeight="1">
      <c r="A73" s="19" t="s">
        <v>173</v>
      </c>
      <c r="B73" s="20" t="s">
        <v>14</v>
      </c>
      <c r="C73" s="19">
        <v>0</v>
      </c>
      <c r="D73" s="19"/>
      <c r="E73" s="19">
        <v>0</v>
      </c>
      <c r="F73" s="19"/>
      <c r="G73" s="19">
        <v>455919</v>
      </c>
      <c r="H73" s="19"/>
      <c r="I73" s="19">
        <v>144472</v>
      </c>
      <c r="J73" s="19"/>
      <c r="K73" s="19">
        <f t="shared" si="0"/>
        <v>600391</v>
      </c>
      <c r="L73" s="19"/>
      <c r="M73" s="19">
        <v>550622</v>
      </c>
      <c r="N73" s="19"/>
      <c r="O73" s="19">
        <f>49768+1</f>
        <v>49769</v>
      </c>
      <c r="P73" s="19"/>
      <c r="Q73" s="19">
        <v>0</v>
      </c>
      <c r="R73" s="6"/>
    </row>
    <row r="74" spans="1:18" s="3" customFormat="1" ht="13.5" customHeight="1">
      <c r="A74" s="19" t="s">
        <v>38</v>
      </c>
      <c r="B74" s="20" t="s">
        <v>14</v>
      </c>
      <c r="C74" s="19">
        <v>0</v>
      </c>
      <c r="D74" s="19"/>
      <c r="E74" s="19">
        <v>47382</v>
      </c>
      <c r="F74" s="19"/>
      <c r="G74" s="19">
        <v>146578</v>
      </c>
      <c r="H74" s="19"/>
      <c r="I74" s="19">
        <v>5208</v>
      </c>
      <c r="J74" s="19"/>
      <c r="K74" s="19">
        <f>IF(SUM(C74:I74)=SUM(M74:Q74),SUM(C74:I74),SUM(M74:Q74)-SUM(C74:I74))</f>
        <v>199168</v>
      </c>
      <c r="L74" s="19"/>
      <c r="M74" s="19">
        <v>88552</v>
      </c>
      <c r="N74" s="19"/>
      <c r="O74" s="19">
        <v>107655</v>
      </c>
      <c r="P74" s="19"/>
      <c r="Q74" s="19">
        <v>2961</v>
      </c>
      <c r="R74" s="6"/>
    </row>
    <row r="75" spans="1:18" s="3" customFormat="1" ht="13.5" customHeight="1">
      <c r="A75" s="19" t="s">
        <v>59</v>
      </c>
      <c r="B75" s="20" t="s">
        <v>14</v>
      </c>
      <c r="C75" s="19">
        <v>0</v>
      </c>
      <c r="D75" s="19"/>
      <c r="E75" s="19">
        <v>0</v>
      </c>
      <c r="F75" s="19"/>
      <c r="G75" s="19">
        <v>85337</v>
      </c>
      <c r="H75" s="19"/>
      <c r="I75" s="19">
        <v>26788</v>
      </c>
      <c r="J75" s="19"/>
      <c r="K75" s="19">
        <f>IF(SUM(C75:I75)=SUM(M75:Q75),SUM(C75:I75),SUM(M75:Q75)-SUM(C75:I75))</f>
        <v>112125</v>
      </c>
      <c r="L75" s="19"/>
      <c r="M75" s="19">
        <v>52765</v>
      </c>
      <c r="N75" s="19"/>
      <c r="O75" s="19">
        <v>59360</v>
      </c>
      <c r="P75" s="19"/>
      <c r="Q75" s="19">
        <v>0</v>
      </c>
      <c r="R75" s="6"/>
    </row>
    <row r="76" spans="1:18" s="3" customFormat="1" ht="13.5" customHeight="1">
      <c r="A76" s="19" t="s">
        <v>60</v>
      </c>
      <c r="B76" s="20" t="s">
        <v>14</v>
      </c>
      <c r="C76" s="19">
        <v>0</v>
      </c>
      <c r="D76" s="19"/>
      <c r="E76" s="19">
        <v>0</v>
      </c>
      <c r="F76" s="19"/>
      <c r="G76" s="19">
        <v>24944</v>
      </c>
      <c r="H76" s="19"/>
      <c r="I76" s="19">
        <v>27114</v>
      </c>
      <c r="J76" s="19"/>
      <c r="K76" s="19">
        <f t="shared" si="0"/>
        <v>52058</v>
      </c>
      <c r="L76" s="19"/>
      <c r="M76" s="19">
        <v>43791</v>
      </c>
      <c r="N76" s="19"/>
      <c r="O76" s="19">
        <f>8268-1</f>
        <v>8267</v>
      </c>
      <c r="P76" s="19"/>
      <c r="Q76" s="19">
        <v>0</v>
      </c>
      <c r="R76" s="6"/>
    </row>
    <row r="77" spans="1:18" s="3" customFormat="1" ht="13.5" customHeight="1">
      <c r="A77" s="19" t="s">
        <v>61</v>
      </c>
      <c r="B77" s="20" t="s">
        <v>14</v>
      </c>
      <c r="C77" s="24">
        <v>0</v>
      </c>
      <c r="D77" s="19"/>
      <c r="E77" s="24">
        <v>0</v>
      </c>
      <c r="F77" s="19"/>
      <c r="G77" s="24">
        <v>24263</v>
      </c>
      <c r="H77" s="19"/>
      <c r="I77" s="24">
        <v>31194</v>
      </c>
      <c r="J77" s="19"/>
      <c r="K77" s="24">
        <f t="shared" si="0"/>
        <v>55457</v>
      </c>
      <c r="L77" s="19"/>
      <c r="M77" s="24">
        <v>51294</v>
      </c>
      <c r="N77" s="19"/>
      <c r="O77" s="24">
        <v>4163</v>
      </c>
      <c r="P77" s="19"/>
      <c r="Q77" s="24">
        <v>0</v>
      </c>
      <c r="R77" s="6"/>
    </row>
    <row r="78" spans="1:18" s="3" customFormat="1" ht="13.5" customHeight="1">
      <c r="A78" s="19" t="s">
        <v>293</v>
      </c>
      <c r="B78" s="20"/>
      <c r="C78" s="24">
        <v>0</v>
      </c>
      <c r="D78" s="19"/>
      <c r="E78" s="24">
        <v>0</v>
      </c>
      <c r="F78" s="19"/>
      <c r="G78" s="24">
        <v>5717</v>
      </c>
      <c r="H78" s="19"/>
      <c r="I78" s="24">
        <v>0</v>
      </c>
      <c r="J78" s="19"/>
      <c r="K78" s="22">
        <f t="shared" si="0"/>
        <v>5717</v>
      </c>
      <c r="L78" s="19"/>
      <c r="M78" s="24">
        <v>0</v>
      </c>
      <c r="N78" s="19"/>
      <c r="O78" s="24">
        <v>5717</v>
      </c>
      <c r="P78" s="19"/>
      <c r="Q78" s="24">
        <v>0</v>
      </c>
      <c r="R78" s="6"/>
    </row>
    <row r="79" spans="1:18" s="3" customFormat="1" ht="13.5" customHeight="1">
      <c r="A79" s="19" t="s">
        <v>286</v>
      </c>
      <c r="B79" s="20" t="s">
        <v>14</v>
      </c>
      <c r="C79" s="23">
        <f>SUM(C68:C78)</f>
        <v>0</v>
      </c>
      <c r="D79" s="19"/>
      <c r="E79" s="23">
        <f>SUM(E68:E78)</f>
        <v>55675</v>
      </c>
      <c r="F79" s="19"/>
      <c r="G79" s="23">
        <f>SUM(G68:G78)</f>
        <v>1508293</v>
      </c>
      <c r="H79" s="19"/>
      <c r="I79" s="23">
        <f>SUM(I68:I78)</f>
        <v>385669</v>
      </c>
      <c r="J79" s="19"/>
      <c r="K79" s="23">
        <f t="shared" si="0"/>
        <v>1949637</v>
      </c>
      <c r="L79" s="19"/>
      <c r="M79" s="23">
        <f>SUM(M68:M78)</f>
        <v>1549549</v>
      </c>
      <c r="N79" s="19"/>
      <c r="O79" s="23">
        <f>SUM(O68:O78)</f>
        <v>396513</v>
      </c>
      <c r="P79" s="19"/>
      <c r="Q79" s="23">
        <f>SUM(Q68:Q78)</f>
        <v>3575</v>
      </c>
      <c r="R79" s="6"/>
    </row>
    <row r="80" spans="1:18" s="3" customFormat="1" ht="13.5" customHeight="1">
      <c r="A80" s="19"/>
      <c r="B80" s="20" t="s">
        <v>14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6"/>
    </row>
    <row r="81" spans="1:18" s="3" customFormat="1" ht="13.5" customHeight="1">
      <c r="A81" s="19" t="s">
        <v>307</v>
      </c>
      <c r="B81" s="20"/>
      <c r="C81" s="25">
        <v>0</v>
      </c>
      <c r="D81" s="19"/>
      <c r="E81" s="25">
        <v>0</v>
      </c>
      <c r="F81" s="19"/>
      <c r="G81" s="25">
        <v>0</v>
      </c>
      <c r="H81" s="19"/>
      <c r="I81" s="25">
        <v>787300</v>
      </c>
      <c r="J81" s="19"/>
      <c r="K81" s="25">
        <f t="shared" si="0"/>
        <v>787300</v>
      </c>
      <c r="L81" s="19"/>
      <c r="M81" s="25">
        <v>0</v>
      </c>
      <c r="N81" s="19"/>
      <c r="O81" s="25">
        <v>787300</v>
      </c>
      <c r="P81" s="19"/>
      <c r="Q81" s="25">
        <v>0</v>
      </c>
      <c r="R81" s="6"/>
    </row>
    <row r="82" spans="1:18" s="3" customFormat="1" ht="13.5" customHeight="1">
      <c r="A82" s="19"/>
      <c r="B82" s="20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6"/>
    </row>
    <row r="83" spans="1:18" s="3" customFormat="1" ht="13.5" customHeight="1">
      <c r="A83" s="19" t="s">
        <v>17</v>
      </c>
      <c r="B83" s="20" t="s">
        <v>14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6"/>
    </row>
    <row r="84" spans="1:18" s="3" customFormat="1" ht="13.5" customHeight="1">
      <c r="A84" s="19" t="s">
        <v>294</v>
      </c>
      <c r="B84" s="20"/>
      <c r="C84" s="19">
        <v>0</v>
      </c>
      <c r="D84" s="19"/>
      <c r="E84" s="19">
        <v>0</v>
      </c>
      <c r="F84" s="19"/>
      <c r="G84" s="19">
        <v>0</v>
      </c>
      <c r="H84" s="19"/>
      <c r="I84" s="19">
        <v>346114</v>
      </c>
      <c r="J84" s="19"/>
      <c r="K84" s="19">
        <f t="shared" si="0"/>
        <v>346114</v>
      </c>
      <c r="L84" s="19"/>
      <c r="M84" s="19">
        <v>265840</v>
      </c>
      <c r="N84" s="19"/>
      <c r="O84" s="19">
        <v>80274</v>
      </c>
      <c r="P84" s="19"/>
      <c r="Q84" s="19">
        <v>0</v>
      </c>
      <c r="R84" s="6"/>
    </row>
    <row r="85" spans="1:18" s="3" customFormat="1" ht="13.5" customHeight="1">
      <c r="A85" s="19" t="s">
        <v>38</v>
      </c>
      <c r="B85" s="20" t="s">
        <v>14</v>
      </c>
      <c r="C85" s="19">
        <v>0</v>
      </c>
      <c r="D85" s="19"/>
      <c r="E85" s="19">
        <v>6800</v>
      </c>
      <c r="F85" s="19"/>
      <c r="G85" s="19">
        <v>3974</v>
      </c>
      <c r="H85" s="19"/>
      <c r="I85" s="19">
        <v>0</v>
      </c>
      <c r="J85" s="19"/>
      <c r="K85" s="19">
        <f t="shared" si="0"/>
        <v>10774</v>
      </c>
      <c r="L85" s="19"/>
      <c r="M85" s="19">
        <v>6375</v>
      </c>
      <c r="N85" s="19"/>
      <c r="O85" s="19">
        <v>3974</v>
      </c>
      <c r="P85" s="19"/>
      <c r="Q85" s="19">
        <v>425</v>
      </c>
      <c r="R85" s="6"/>
    </row>
    <row r="86" spans="1:18" s="3" customFormat="1" ht="13.5" customHeight="1">
      <c r="A86" s="19" t="s">
        <v>243</v>
      </c>
      <c r="B86" s="20" t="s">
        <v>14</v>
      </c>
      <c r="C86" s="22">
        <v>452853</v>
      </c>
      <c r="D86" s="19"/>
      <c r="E86" s="22">
        <v>0</v>
      </c>
      <c r="F86" s="19"/>
      <c r="G86" s="22">
        <v>0</v>
      </c>
      <c r="H86" s="19"/>
      <c r="I86" s="22">
        <v>0</v>
      </c>
      <c r="J86" s="19"/>
      <c r="K86" s="22">
        <f t="shared" si="0"/>
        <v>452853</v>
      </c>
      <c r="L86" s="19"/>
      <c r="M86" s="22">
        <v>146202</v>
      </c>
      <c r="N86" s="19"/>
      <c r="O86" s="22">
        <f>261095+1</f>
        <v>261096</v>
      </c>
      <c r="P86" s="19"/>
      <c r="Q86" s="22">
        <v>45555</v>
      </c>
      <c r="R86" s="6"/>
    </row>
    <row r="87" spans="1:18" s="3" customFormat="1" ht="13.5" customHeight="1">
      <c r="A87" s="19" t="s">
        <v>147</v>
      </c>
      <c r="B87" s="20" t="s">
        <v>14</v>
      </c>
      <c r="C87" s="22">
        <f>SUM(C84:C86)</f>
        <v>452853</v>
      </c>
      <c r="D87" s="19"/>
      <c r="E87" s="22">
        <f>SUM(E84:E86)</f>
        <v>6800</v>
      </c>
      <c r="F87" s="19"/>
      <c r="G87" s="22">
        <f>SUM(G84:G86)</f>
        <v>3974</v>
      </c>
      <c r="H87" s="19"/>
      <c r="I87" s="22">
        <f>SUM(I84:I86)</f>
        <v>346114</v>
      </c>
      <c r="J87" s="19"/>
      <c r="K87" s="22">
        <f>SUM(K84:K86)</f>
        <v>809741</v>
      </c>
      <c r="L87" s="19"/>
      <c r="M87" s="22">
        <f>SUM(M84:M86)</f>
        <v>418417</v>
      </c>
      <c r="N87" s="19"/>
      <c r="O87" s="22">
        <f>SUM(O84:O86)</f>
        <v>345344</v>
      </c>
      <c r="P87" s="19"/>
      <c r="Q87" s="22">
        <f>SUM(Q84:Q86)</f>
        <v>45980</v>
      </c>
      <c r="R87" s="6"/>
    </row>
    <row r="88" spans="1:18" s="3" customFormat="1" ht="13.5" customHeight="1">
      <c r="A88" s="19"/>
      <c r="B88" s="20" t="s">
        <v>14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6"/>
    </row>
    <row r="89" spans="1:18" s="3" customFormat="1" ht="13.5" customHeight="1">
      <c r="A89" s="19" t="s">
        <v>282</v>
      </c>
      <c r="B89" s="20"/>
      <c r="C89" s="25">
        <v>0</v>
      </c>
      <c r="D89" s="19"/>
      <c r="E89" s="25">
        <v>15028</v>
      </c>
      <c r="F89" s="19"/>
      <c r="G89" s="25">
        <v>2500</v>
      </c>
      <c r="H89" s="19"/>
      <c r="I89" s="25">
        <v>0</v>
      </c>
      <c r="J89" s="19"/>
      <c r="K89" s="25">
        <f t="shared" si="0"/>
        <v>17528</v>
      </c>
      <c r="L89" s="19"/>
      <c r="M89" s="25">
        <v>12498</v>
      </c>
      <c r="N89" s="19"/>
      <c r="O89" s="25">
        <v>88</v>
      </c>
      <c r="P89" s="19"/>
      <c r="Q89" s="25">
        <v>4942</v>
      </c>
      <c r="R89" s="6"/>
    </row>
    <row r="90" spans="1:18" s="3" customFormat="1" ht="13.5" customHeight="1">
      <c r="A90" s="19"/>
      <c r="B90" s="20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6"/>
    </row>
    <row r="91" spans="1:18" s="3" customFormat="1" ht="13.5" customHeight="1">
      <c r="A91" s="19" t="s">
        <v>184</v>
      </c>
      <c r="B91" s="20"/>
      <c r="C91" s="22">
        <v>0</v>
      </c>
      <c r="D91" s="19"/>
      <c r="E91" s="22">
        <v>18590</v>
      </c>
      <c r="F91" s="19"/>
      <c r="G91" s="22">
        <v>0</v>
      </c>
      <c r="H91" s="19"/>
      <c r="I91" s="22">
        <v>0</v>
      </c>
      <c r="J91" s="19"/>
      <c r="K91" s="22">
        <f t="shared" si="0"/>
        <v>18590</v>
      </c>
      <c r="L91" s="19"/>
      <c r="M91" s="22">
        <v>0</v>
      </c>
      <c r="N91" s="19"/>
      <c r="O91" s="22">
        <v>23323</v>
      </c>
      <c r="P91" s="19"/>
      <c r="Q91" s="22">
        <v>-4733</v>
      </c>
      <c r="R91" s="6"/>
    </row>
    <row r="92" spans="1:18" s="3" customFormat="1" ht="13.5" customHeight="1">
      <c r="A92" s="19"/>
      <c r="B92" s="20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8"/>
      <c r="R92" s="6"/>
    </row>
    <row r="93" spans="1:18" s="3" customFormat="1" ht="13.5" customHeight="1">
      <c r="A93" s="19" t="s">
        <v>273</v>
      </c>
      <c r="B93" s="20"/>
      <c r="C93" s="22">
        <v>-1718</v>
      </c>
      <c r="D93" s="19"/>
      <c r="E93" s="22">
        <v>0</v>
      </c>
      <c r="F93" s="19"/>
      <c r="G93" s="22">
        <v>0</v>
      </c>
      <c r="H93" s="19"/>
      <c r="I93" s="22">
        <v>0</v>
      </c>
      <c r="J93" s="19"/>
      <c r="K93" s="22">
        <f aca="true" t="shared" si="1" ref="K93:K156">IF(SUM(C93:I93)=SUM(M93:Q93),SUM(C93:I93),SUM(M93:Q93)-SUM(C93:I93))</f>
        <v>-1718</v>
      </c>
      <c r="L93" s="19"/>
      <c r="M93" s="22">
        <v>-1718</v>
      </c>
      <c r="N93" s="19"/>
      <c r="O93" s="22">
        <v>0</v>
      </c>
      <c r="P93" s="19"/>
      <c r="Q93" s="22">
        <v>0</v>
      </c>
      <c r="R93" s="6"/>
    </row>
    <row r="94" spans="1:18" s="3" customFormat="1" ht="13.5" customHeight="1">
      <c r="A94" s="19"/>
      <c r="B94" s="20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6"/>
    </row>
    <row r="95" spans="1:18" s="3" customFormat="1" ht="13.5" customHeight="1">
      <c r="A95" s="19" t="s">
        <v>18</v>
      </c>
      <c r="B95" s="20" t="s">
        <v>14</v>
      </c>
      <c r="C95" s="19" t="s">
        <v>14</v>
      </c>
      <c r="D95" s="19"/>
      <c r="E95" s="19" t="s">
        <v>14</v>
      </c>
      <c r="F95" s="19"/>
      <c r="G95" s="19" t="s">
        <v>14</v>
      </c>
      <c r="H95" s="19"/>
      <c r="I95" s="19" t="s">
        <v>14</v>
      </c>
      <c r="J95" s="19"/>
      <c r="K95" s="19"/>
      <c r="L95" s="19"/>
      <c r="M95" s="19" t="s">
        <v>14</v>
      </c>
      <c r="N95" s="19"/>
      <c r="O95" s="19" t="s">
        <v>14</v>
      </c>
      <c r="P95" s="19"/>
      <c r="Q95" s="19" t="s">
        <v>14</v>
      </c>
      <c r="R95" s="6"/>
    </row>
    <row r="96" spans="1:18" s="3" customFormat="1" ht="13.5" customHeight="1">
      <c r="A96" s="19" t="s">
        <v>252</v>
      </c>
      <c r="B96" s="20" t="s">
        <v>14</v>
      </c>
      <c r="C96" s="19">
        <v>220151</v>
      </c>
      <c r="D96" s="19"/>
      <c r="E96" s="19">
        <v>29138</v>
      </c>
      <c r="F96" s="19"/>
      <c r="G96" s="19">
        <v>94274</v>
      </c>
      <c r="H96" s="19"/>
      <c r="I96" s="19">
        <v>0</v>
      </c>
      <c r="J96" s="19"/>
      <c r="K96" s="19">
        <f>IF(SUM(C96:I96)=SUM(M96:Q96),SUM(C96:I96),SUM(M96:Q96)-SUM(C96:I96))</f>
        <v>343563</v>
      </c>
      <c r="L96" s="19"/>
      <c r="M96" s="19">
        <v>238513</v>
      </c>
      <c r="N96" s="19"/>
      <c r="O96" s="19">
        <v>90166</v>
      </c>
      <c r="P96" s="19"/>
      <c r="Q96" s="19">
        <v>14884</v>
      </c>
      <c r="R96" s="6"/>
    </row>
    <row r="97" spans="1:18" s="3" customFormat="1" ht="13.5" customHeight="1">
      <c r="A97" s="19" t="s">
        <v>38</v>
      </c>
      <c r="B97" s="20" t="s">
        <v>14</v>
      </c>
      <c r="C97" s="19">
        <v>464044</v>
      </c>
      <c r="D97" s="19"/>
      <c r="E97" s="19">
        <v>44954</v>
      </c>
      <c r="F97" s="19"/>
      <c r="G97" s="19">
        <v>41828</v>
      </c>
      <c r="H97" s="19"/>
      <c r="I97" s="19">
        <v>8404</v>
      </c>
      <c r="J97" s="19"/>
      <c r="K97" s="19">
        <f t="shared" si="1"/>
        <v>559230</v>
      </c>
      <c r="L97" s="19"/>
      <c r="M97" s="19">
        <v>398762</v>
      </c>
      <c r="N97" s="19"/>
      <c r="O97" s="19">
        <v>102426</v>
      </c>
      <c r="P97" s="19"/>
      <c r="Q97" s="19">
        <v>58042</v>
      </c>
      <c r="R97" s="6"/>
    </row>
    <row r="98" spans="1:18" s="3" customFormat="1" ht="13.5" customHeight="1">
      <c r="A98" s="19" t="s">
        <v>65</v>
      </c>
      <c r="B98" s="20" t="s">
        <v>14</v>
      </c>
      <c r="C98" s="24">
        <v>0</v>
      </c>
      <c r="D98" s="19"/>
      <c r="E98" s="24">
        <v>0</v>
      </c>
      <c r="F98" s="19"/>
      <c r="G98" s="24">
        <v>37175</v>
      </c>
      <c r="H98" s="19"/>
      <c r="I98" s="24">
        <v>732</v>
      </c>
      <c r="J98" s="19"/>
      <c r="K98" s="24">
        <f t="shared" si="1"/>
        <v>37907</v>
      </c>
      <c r="L98" s="19"/>
      <c r="M98" s="24">
        <v>10736</v>
      </c>
      <c r="N98" s="19"/>
      <c r="O98" s="24">
        <f>27170+1</f>
        <v>27171</v>
      </c>
      <c r="P98" s="19"/>
      <c r="Q98" s="24">
        <v>0</v>
      </c>
      <c r="R98" s="6"/>
    </row>
    <row r="99" spans="1:18" s="3" customFormat="1" ht="13.5" customHeight="1">
      <c r="A99" s="19" t="s">
        <v>148</v>
      </c>
      <c r="B99" s="20" t="s">
        <v>14</v>
      </c>
      <c r="C99" s="39">
        <f>SUM(C96:C98)</f>
        <v>684195</v>
      </c>
      <c r="D99" s="19"/>
      <c r="E99" s="39">
        <f>SUM(E96:E98)</f>
        <v>74092</v>
      </c>
      <c r="F99" s="19"/>
      <c r="G99" s="39">
        <f>SUM(G96:G98)</f>
        <v>173277</v>
      </c>
      <c r="H99" s="19"/>
      <c r="I99" s="39">
        <f>SUM(I96:I98)</f>
        <v>9136</v>
      </c>
      <c r="J99" s="19"/>
      <c r="K99" s="39">
        <f t="shared" si="1"/>
        <v>940700</v>
      </c>
      <c r="L99" s="19"/>
      <c r="M99" s="39">
        <f>SUM(M96:M98)</f>
        <v>648011</v>
      </c>
      <c r="N99" s="19"/>
      <c r="O99" s="39">
        <f>SUM(O96:O98)</f>
        <v>219763</v>
      </c>
      <c r="P99" s="19"/>
      <c r="Q99" s="39">
        <f>SUM(Q96:Q98)</f>
        <v>72926</v>
      </c>
      <c r="R99" s="6"/>
    </row>
    <row r="100" spans="1:18" s="3" customFormat="1" ht="13.5" customHeight="1">
      <c r="A100" s="19"/>
      <c r="B100" s="20" t="s">
        <v>14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6"/>
    </row>
    <row r="101" spans="1:18" s="3" customFormat="1" ht="13.5" customHeight="1">
      <c r="A101" s="19" t="s">
        <v>19</v>
      </c>
      <c r="B101" s="20" t="s">
        <v>14</v>
      </c>
      <c r="C101" s="19" t="s">
        <v>14</v>
      </c>
      <c r="D101" s="19"/>
      <c r="E101" s="19" t="s">
        <v>14</v>
      </c>
      <c r="F101" s="19"/>
      <c r="G101" s="19" t="s">
        <v>14</v>
      </c>
      <c r="H101" s="19"/>
      <c r="I101" s="19" t="s">
        <v>14</v>
      </c>
      <c r="J101" s="19"/>
      <c r="K101" s="19"/>
      <c r="L101" s="19"/>
      <c r="M101" s="19" t="s">
        <v>14</v>
      </c>
      <c r="N101" s="19"/>
      <c r="O101" s="19" t="s">
        <v>14</v>
      </c>
      <c r="P101" s="19"/>
      <c r="Q101" s="19" t="s">
        <v>14</v>
      </c>
      <c r="R101" s="6"/>
    </row>
    <row r="102" spans="1:18" s="3" customFormat="1" ht="13.5" customHeight="1">
      <c r="A102" s="19" t="s">
        <v>66</v>
      </c>
      <c r="B102" s="20" t="s">
        <v>14</v>
      </c>
      <c r="C102" s="19">
        <v>0</v>
      </c>
      <c r="D102" s="19"/>
      <c r="E102" s="19">
        <v>0</v>
      </c>
      <c r="F102" s="19"/>
      <c r="G102" s="19">
        <v>235175</v>
      </c>
      <c r="H102" s="19"/>
      <c r="I102" s="19">
        <v>28646</v>
      </c>
      <c r="J102" s="19"/>
      <c r="K102" s="19">
        <f>IF(SUM(C102:I102)=SUM(M102:Q102),SUM(C102:I102),SUM(M102:Q102)-SUM(C102:I102))</f>
        <v>263821</v>
      </c>
      <c r="L102" s="19"/>
      <c r="M102" s="19">
        <v>181464</v>
      </c>
      <c r="N102" s="19"/>
      <c r="O102" s="19">
        <f>82358-1</f>
        <v>82357</v>
      </c>
      <c r="P102" s="19"/>
      <c r="Q102" s="19">
        <v>0</v>
      </c>
      <c r="R102" s="6"/>
    </row>
    <row r="103" spans="1:18" s="3" customFormat="1" ht="13.5" customHeight="1">
      <c r="A103" s="19" t="s">
        <v>67</v>
      </c>
      <c r="B103" s="20" t="s">
        <v>14</v>
      </c>
      <c r="C103" s="19">
        <v>3383</v>
      </c>
      <c r="D103" s="19"/>
      <c r="E103" s="19">
        <v>23031</v>
      </c>
      <c r="F103" s="19"/>
      <c r="G103" s="19">
        <v>8665</v>
      </c>
      <c r="H103" s="19"/>
      <c r="I103" s="19">
        <v>1340</v>
      </c>
      <c r="J103" s="19"/>
      <c r="K103" s="19">
        <f>IF(SUM(C103:I103)=SUM(M103:Q103),SUM(C103:I103),SUM(M103:Q103)-SUM(C103:I103))</f>
        <v>36419</v>
      </c>
      <c r="L103" s="19"/>
      <c r="M103" s="19">
        <v>5360</v>
      </c>
      <c r="N103" s="19"/>
      <c r="O103" s="19">
        <f>30016-1</f>
        <v>30015</v>
      </c>
      <c r="P103" s="19"/>
      <c r="Q103" s="19">
        <v>1044</v>
      </c>
      <c r="R103" s="6"/>
    </row>
    <row r="104" spans="1:18" s="3" customFormat="1" ht="13.5" customHeight="1">
      <c r="A104" s="19" t="s">
        <v>68</v>
      </c>
      <c r="B104" s="20" t="s">
        <v>14</v>
      </c>
      <c r="C104" s="19">
        <v>3784</v>
      </c>
      <c r="D104" s="19"/>
      <c r="E104" s="19">
        <v>23563</v>
      </c>
      <c r="F104" s="19"/>
      <c r="G104" s="19">
        <v>88624</v>
      </c>
      <c r="H104" s="19"/>
      <c r="I104" s="19">
        <v>5000</v>
      </c>
      <c r="J104" s="19"/>
      <c r="K104" s="19">
        <f t="shared" si="1"/>
        <v>120971</v>
      </c>
      <c r="L104" s="19"/>
      <c r="M104" s="19">
        <v>95597</v>
      </c>
      <c r="N104" s="19"/>
      <c r="O104" s="19">
        <v>17840</v>
      </c>
      <c r="P104" s="19"/>
      <c r="Q104" s="19">
        <v>7534</v>
      </c>
      <c r="R104" s="6"/>
    </row>
    <row r="105" spans="1:18" s="3" customFormat="1" ht="13.5" customHeight="1">
      <c r="A105" s="19" t="s">
        <v>96</v>
      </c>
      <c r="B105" s="20"/>
      <c r="C105" s="19">
        <v>0</v>
      </c>
      <c r="D105" s="19"/>
      <c r="E105" s="19">
        <v>553</v>
      </c>
      <c r="F105" s="19"/>
      <c r="G105" s="19">
        <v>154234</v>
      </c>
      <c r="H105" s="19"/>
      <c r="I105" s="19">
        <v>70441</v>
      </c>
      <c r="J105" s="19"/>
      <c r="K105" s="19">
        <f t="shared" si="1"/>
        <v>225228</v>
      </c>
      <c r="L105" s="19"/>
      <c r="M105" s="19">
        <v>86553</v>
      </c>
      <c r="N105" s="19"/>
      <c r="O105" s="19">
        <v>138493</v>
      </c>
      <c r="P105" s="19"/>
      <c r="Q105" s="19">
        <v>182</v>
      </c>
      <c r="R105" s="6"/>
    </row>
    <row r="106" spans="1:18" s="3" customFormat="1" ht="13.5" customHeight="1">
      <c r="A106" s="19" t="s">
        <v>38</v>
      </c>
      <c r="B106" s="20"/>
      <c r="C106" s="19">
        <v>0</v>
      </c>
      <c r="D106" s="19"/>
      <c r="E106" s="19">
        <v>426471</v>
      </c>
      <c r="F106" s="19"/>
      <c r="G106" s="19">
        <v>89490</v>
      </c>
      <c r="H106" s="19"/>
      <c r="I106" s="19">
        <v>214972</v>
      </c>
      <c r="J106" s="19"/>
      <c r="K106" s="19">
        <f t="shared" si="1"/>
        <v>730933</v>
      </c>
      <c r="L106" s="19"/>
      <c r="M106" s="19">
        <v>316777</v>
      </c>
      <c r="N106" s="19"/>
      <c r="O106" s="19">
        <f>297714-1</f>
        <v>297713</v>
      </c>
      <c r="P106" s="19"/>
      <c r="Q106" s="19">
        <v>116443</v>
      </c>
      <c r="R106" s="6"/>
    </row>
    <row r="107" spans="1:18" s="3" customFormat="1" ht="13.5" customHeight="1">
      <c r="A107" s="19" t="s">
        <v>69</v>
      </c>
      <c r="B107" s="20" t="s">
        <v>14</v>
      </c>
      <c r="C107" s="19">
        <v>0</v>
      </c>
      <c r="D107" s="19"/>
      <c r="E107" s="19">
        <v>262</v>
      </c>
      <c r="F107" s="19"/>
      <c r="G107" s="19">
        <v>61380</v>
      </c>
      <c r="H107" s="19"/>
      <c r="I107" s="19">
        <v>0</v>
      </c>
      <c r="J107" s="19"/>
      <c r="K107" s="19">
        <f t="shared" si="1"/>
        <v>61642</v>
      </c>
      <c r="L107" s="19"/>
      <c r="M107" s="19">
        <v>54059</v>
      </c>
      <c r="N107" s="19"/>
      <c r="O107" s="19">
        <f>7582+1</f>
        <v>7583</v>
      </c>
      <c r="P107" s="19"/>
      <c r="Q107" s="19">
        <v>0</v>
      </c>
      <c r="R107" s="6"/>
    </row>
    <row r="108" spans="1:18" s="3" customFormat="1" ht="13.5" customHeight="1">
      <c r="A108" s="19" t="s">
        <v>70</v>
      </c>
      <c r="B108" s="20" t="s">
        <v>14</v>
      </c>
      <c r="C108" s="22">
        <v>0</v>
      </c>
      <c r="D108" s="19"/>
      <c r="E108" s="22">
        <v>0</v>
      </c>
      <c r="F108" s="19"/>
      <c r="G108" s="22">
        <v>203110</v>
      </c>
      <c r="H108" s="19"/>
      <c r="I108" s="22">
        <v>0</v>
      </c>
      <c r="J108" s="19"/>
      <c r="K108" s="22">
        <f t="shared" si="1"/>
        <v>203110</v>
      </c>
      <c r="L108" s="19"/>
      <c r="M108" s="22">
        <v>104450</v>
      </c>
      <c r="N108" s="19"/>
      <c r="O108" s="22">
        <f>98659+1</f>
        <v>98660</v>
      </c>
      <c r="P108" s="19"/>
      <c r="Q108" s="22">
        <v>0</v>
      </c>
      <c r="R108" s="6"/>
    </row>
    <row r="109" spans="1:18" s="3" customFormat="1" ht="13.5" customHeight="1">
      <c r="A109" s="19" t="s">
        <v>149</v>
      </c>
      <c r="B109" s="20" t="s">
        <v>14</v>
      </c>
      <c r="C109" s="23">
        <f>SUM(C102:C108)</f>
        <v>7167</v>
      </c>
      <c r="D109" s="19"/>
      <c r="E109" s="23">
        <f>SUM(E102:E108)</f>
        <v>473880</v>
      </c>
      <c r="F109" s="19"/>
      <c r="G109" s="23">
        <f>SUM(G102:G108)</f>
        <v>840678</v>
      </c>
      <c r="H109" s="19"/>
      <c r="I109" s="23">
        <f>SUM(I102:I108)</f>
        <v>320399</v>
      </c>
      <c r="J109" s="19"/>
      <c r="K109" s="23">
        <f t="shared" si="1"/>
        <v>1642124</v>
      </c>
      <c r="L109" s="19"/>
      <c r="M109" s="22">
        <f>IF(SUM(M102:M108)=0,"         --",(SUM(M102:M108)))</f>
        <v>844260</v>
      </c>
      <c r="N109" s="19"/>
      <c r="O109" s="22">
        <f>IF(SUM(O102:O108)=0,"         --",(SUM(O102:O108)))</f>
        <v>672661</v>
      </c>
      <c r="P109" s="19"/>
      <c r="Q109" s="22">
        <f>IF(SUM(Q102:Q108)=0,"        --",(SUM(Q102:Q108)))</f>
        <v>125203</v>
      </c>
      <c r="R109" s="6"/>
    </row>
    <row r="110" spans="1:18" s="3" customFormat="1" ht="13.5" customHeight="1">
      <c r="A110" s="19"/>
      <c r="B110" s="20" t="s">
        <v>14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6"/>
    </row>
    <row r="111" spans="1:18" s="3" customFormat="1" ht="13.5" customHeight="1">
      <c r="A111" s="19" t="s">
        <v>236</v>
      </c>
      <c r="B111" s="20"/>
      <c r="C111" s="22">
        <v>828724</v>
      </c>
      <c r="D111" s="19"/>
      <c r="E111" s="22">
        <v>651218</v>
      </c>
      <c r="F111" s="19"/>
      <c r="G111" s="22">
        <v>333880</v>
      </c>
      <c r="H111" s="19"/>
      <c r="I111" s="22">
        <v>17639</v>
      </c>
      <c r="J111" s="19"/>
      <c r="K111" s="22">
        <f t="shared" si="1"/>
        <v>1831461</v>
      </c>
      <c r="L111" s="19"/>
      <c r="M111" s="22">
        <v>967539</v>
      </c>
      <c r="N111" s="19"/>
      <c r="O111" s="22">
        <v>707743</v>
      </c>
      <c r="P111" s="19"/>
      <c r="Q111" s="22">
        <v>156179</v>
      </c>
      <c r="R111" s="6"/>
    </row>
    <row r="112" spans="1:18" s="3" customFormat="1" ht="13.5" customHeight="1">
      <c r="A112" s="19"/>
      <c r="B112" s="20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6"/>
    </row>
    <row r="113" spans="1:18" s="3" customFormat="1" ht="13.5" customHeight="1">
      <c r="A113" s="19" t="s">
        <v>71</v>
      </c>
      <c r="B113" s="20" t="s">
        <v>14</v>
      </c>
      <c r="C113" s="22">
        <v>50000</v>
      </c>
      <c r="D113" s="19"/>
      <c r="E113" s="22">
        <v>5864</v>
      </c>
      <c r="F113" s="19"/>
      <c r="G113" s="22">
        <v>0</v>
      </c>
      <c r="H113" s="19"/>
      <c r="I113" s="22">
        <v>0</v>
      </c>
      <c r="J113" s="19"/>
      <c r="K113" s="22">
        <f t="shared" si="1"/>
        <v>55864</v>
      </c>
      <c r="L113" s="19"/>
      <c r="M113" s="22">
        <v>5497</v>
      </c>
      <c r="N113" s="19"/>
      <c r="O113" s="22">
        <f>50000+1</f>
        <v>50001</v>
      </c>
      <c r="P113" s="19"/>
      <c r="Q113" s="22">
        <v>366</v>
      </c>
      <c r="R113" s="6"/>
    </row>
    <row r="114" spans="1:18" s="3" customFormat="1" ht="13.5" customHeight="1">
      <c r="A114" s="19"/>
      <c r="B114" s="20" t="s">
        <v>14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6"/>
    </row>
    <row r="115" spans="1:18" s="3" customFormat="1" ht="13.5" customHeight="1">
      <c r="A115" s="19" t="s">
        <v>72</v>
      </c>
      <c r="B115" s="20" t="s">
        <v>14</v>
      </c>
      <c r="C115" s="22">
        <v>0</v>
      </c>
      <c r="D115" s="19"/>
      <c r="E115" s="22">
        <v>0</v>
      </c>
      <c r="F115" s="19"/>
      <c r="G115" s="22">
        <v>24982</v>
      </c>
      <c r="H115" s="19"/>
      <c r="I115" s="22">
        <v>78103</v>
      </c>
      <c r="J115" s="19"/>
      <c r="K115" s="22">
        <f t="shared" si="1"/>
        <v>103085</v>
      </c>
      <c r="L115" s="19"/>
      <c r="M115" s="22">
        <v>10220</v>
      </c>
      <c r="N115" s="19"/>
      <c r="O115" s="22">
        <f>92866-1</f>
        <v>92865</v>
      </c>
      <c r="P115" s="19"/>
      <c r="Q115" s="22">
        <v>0</v>
      </c>
      <c r="R115" s="6"/>
    </row>
    <row r="116" spans="1:18" s="3" customFormat="1" ht="13.5" customHeight="1">
      <c r="A116" s="19"/>
      <c r="B116" s="20"/>
      <c r="C116" s="24"/>
      <c r="D116" s="19"/>
      <c r="E116" s="24"/>
      <c r="F116" s="19"/>
      <c r="G116" s="24"/>
      <c r="H116" s="19"/>
      <c r="I116" s="24"/>
      <c r="J116" s="19"/>
      <c r="K116" s="24"/>
      <c r="L116" s="19"/>
      <c r="M116" s="24"/>
      <c r="N116" s="19"/>
      <c r="O116" s="24"/>
      <c r="P116" s="19"/>
      <c r="Q116" s="24"/>
      <c r="R116" s="6"/>
    </row>
    <row r="117" spans="1:18" s="3" customFormat="1" ht="13.5" customHeight="1">
      <c r="A117" s="19" t="s">
        <v>140</v>
      </c>
      <c r="B117" s="20"/>
      <c r="C117" s="25">
        <v>0</v>
      </c>
      <c r="D117" s="19"/>
      <c r="E117" s="25">
        <v>51948</v>
      </c>
      <c r="F117" s="19"/>
      <c r="G117" s="25">
        <v>0</v>
      </c>
      <c r="H117" s="19"/>
      <c r="I117" s="25">
        <v>0</v>
      </c>
      <c r="J117" s="19"/>
      <c r="K117" s="22">
        <f t="shared" si="1"/>
        <v>51948</v>
      </c>
      <c r="L117" s="19"/>
      <c r="M117" s="25">
        <v>26449</v>
      </c>
      <c r="N117" s="19"/>
      <c r="O117" s="25">
        <f>10771+1</f>
        <v>10772</v>
      </c>
      <c r="P117" s="19"/>
      <c r="Q117" s="25">
        <v>14727</v>
      </c>
      <c r="R117" s="6"/>
    </row>
    <row r="118" spans="1:18" s="3" customFormat="1" ht="13.5" customHeight="1">
      <c r="A118" s="19"/>
      <c r="B118" s="20" t="s">
        <v>14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6"/>
    </row>
    <row r="119" spans="1:18" s="3" customFormat="1" ht="13.5" customHeight="1">
      <c r="A119" s="19" t="s">
        <v>73</v>
      </c>
      <c r="B119" s="20" t="s">
        <v>14</v>
      </c>
      <c r="C119" s="22">
        <v>0</v>
      </c>
      <c r="D119" s="19"/>
      <c r="E119" s="22">
        <v>12742</v>
      </c>
      <c r="F119" s="19"/>
      <c r="G119" s="22">
        <v>22072</v>
      </c>
      <c r="H119" s="19"/>
      <c r="I119" s="22">
        <v>0</v>
      </c>
      <c r="J119" s="19"/>
      <c r="K119" s="22">
        <f t="shared" si="1"/>
        <v>34814</v>
      </c>
      <c r="L119" s="19"/>
      <c r="M119" s="22">
        <v>29315</v>
      </c>
      <c r="N119" s="19"/>
      <c r="O119" s="22">
        <v>4703</v>
      </c>
      <c r="P119" s="19"/>
      <c r="Q119" s="22">
        <v>796</v>
      </c>
      <c r="R119" s="6"/>
    </row>
    <row r="120" spans="1:18" s="3" customFormat="1" ht="13.5" customHeight="1">
      <c r="A120" s="19"/>
      <c r="B120" s="20" t="s">
        <v>14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6"/>
    </row>
    <row r="121" spans="1:18" s="3" customFormat="1" ht="13.5" customHeight="1">
      <c r="A121" s="19" t="s">
        <v>20</v>
      </c>
      <c r="B121" s="20" t="s">
        <v>14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6"/>
    </row>
    <row r="122" spans="1:18" s="3" customFormat="1" ht="13.5" customHeight="1">
      <c r="A122" s="19" t="s">
        <v>74</v>
      </c>
      <c r="B122" s="20" t="s">
        <v>14</v>
      </c>
      <c r="C122" s="19">
        <v>0</v>
      </c>
      <c r="D122" s="19"/>
      <c r="E122" s="19">
        <v>0</v>
      </c>
      <c r="F122" s="19"/>
      <c r="G122" s="19">
        <v>16713</v>
      </c>
      <c r="H122" s="19"/>
      <c r="I122" s="19">
        <v>3364</v>
      </c>
      <c r="J122" s="19"/>
      <c r="K122" s="19">
        <f t="shared" si="1"/>
        <v>20077</v>
      </c>
      <c r="L122" s="19"/>
      <c r="M122" s="19">
        <v>11890</v>
      </c>
      <c r="N122" s="19"/>
      <c r="O122" s="19">
        <f>8188-1</f>
        <v>8187</v>
      </c>
      <c r="P122" s="19"/>
      <c r="Q122" s="19">
        <v>0</v>
      </c>
      <c r="R122" s="6"/>
    </row>
    <row r="123" spans="1:18" s="3" customFormat="1" ht="13.5" customHeight="1">
      <c r="A123" s="19" t="s">
        <v>75</v>
      </c>
      <c r="B123" s="20" t="s">
        <v>14</v>
      </c>
      <c r="C123" s="19">
        <v>0</v>
      </c>
      <c r="D123" s="19"/>
      <c r="E123" s="19">
        <v>0</v>
      </c>
      <c r="F123" s="19"/>
      <c r="G123" s="19">
        <v>7008</v>
      </c>
      <c r="H123" s="19"/>
      <c r="I123" s="19">
        <v>48027</v>
      </c>
      <c r="J123" s="19"/>
      <c r="K123" s="19">
        <f t="shared" si="1"/>
        <v>55035</v>
      </c>
      <c r="L123" s="19"/>
      <c r="M123" s="19">
        <v>12853</v>
      </c>
      <c r="N123" s="19"/>
      <c r="O123" s="19">
        <v>42182</v>
      </c>
      <c r="P123" s="19"/>
      <c r="Q123" s="19">
        <v>0</v>
      </c>
      <c r="R123" s="6"/>
    </row>
    <row r="124" spans="1:18" s="3" customFormat="1" ht="13.5" customHeight="1">
      <c r="A124" s="19" t="s">
        <v>38</v>
      </c>
      <c r="B124" s="20" t="s">
        <v>14</v>
      </c>
      <c r="C124" s="19">
        <v>0</v>
      </c>
      <c r="D124" s="19"/>
      <c r="E124" s="19">
        <v>17277</v>
      </c>
      <c r="F124" s="19"/>
      <c r="G124" s="19">
        <v>5531</v>
      </c>
      <c r="H124" s="19"/>
      <c r="I124" s="19">
        <v>878</v>
      </c>
      <c r="J124" s="19"/>
      <c r="K124" s="19">
        <f t="shared" si="1"/>
        <v>23686</v>
      </c>
      <c r="L124" s="19"/>
      <c r="M124" s="19">
        <v>17412</v>
      </c>
      <c r="N124" s="19"/>
      <c r="O124" s="19">
        <f>5196-2</f>
        <v>5194</v>
      </c>
      <c r="P124" s="19"/>
      <c r="Q124" s="19">
        <v>1080</v>
      </c>
      <c r="R124" s="6"/>
    </row>
    <row r="125" spans="1:18" s="3" customFormat="1" ht="13.5" customHeight="1">
      <c r="A125" s="19" t="s">
        <v>244</v>
      </c>
      <c r="B125" s="20" t="s">
        <v>14</v>
      </c>
      <c r="C125" s="19">
        <v>0</v>
      </c>
      <c r="D125" s="19"/>
      <c r="E125" s="19">
        <v>0</v>
      </c>
      <c r="F125" s="19"/>
      <c r="G125" s="19">
        <v>30195</v>
      </c>
      <c r="H125" s="19"/>
      <c r="I125" s="19">
        <v>210749</v>
      </c>
      <c r="J125" s="19"/>
      <c r="K125" s="19">
        <f t="shared" si="1"/>
        <v>240944</v>
      </c>
      <c r="L125" s="19"/>
      <c r="M125" s="19">
        <v>95086</v>
      </c>
      <c r="N125" s="19"/>
      <c r="O125" s="19">
        <v>145858</v>
      </c>
      <c r="P125" s="19"/>
      <c r="Q125" s="19">
        <v>0</v>
      </c>
      <c r="R125" s="6"/>
    </row>
    <row r="126" spans="1:18" s="3" customFormat="1" ht="13.5" customHeight="1">
      <c r="A126" s="19" t="s">
        <v>212</v>
      </c>
      <c r="B126" s="20" t="s">
        <v>14</v>
      </c>
      <c r="C126" s="22">
        <v>0</v>
      </c>
      <c r="D126" s="19"/>
      <c r="E126" s="22">
        <v>0</v>
      </c>
      <c r="F126" s="19"/>
      <c r="G126" s="22">
        <v>3549</v>
      </c>
      <c r="H126" s="19"/>
      <c r="I126" s="22">
        <v>85976</v>
      </c>
      <c r="J126" s="19"/>
      <c r="K126" s="22">
        <f t="shared" si="1"/>
        <v>89525</v>
      </c>
      <c r="L126" s="19"/>
      <c r="M126" s="22">
        <v>0</v>
      </c>
      <c r="N126" s="19"/>
      <c r="O126" s="22">
        <v>89525</v>
      </c>
      <c r="P126" s="19"/>
      <c r="Q126" s="22">
        <v>0</v>
      </c>
      <c r="R126" s="6"/>
    </row>
    <row r="127" spans="1:18" s="3" customFormat="1" ht="13.5" customHeight="1">
      <c r="A127" s="19" t="s">
        <v>150</v>
      </c>
      <c r="B127" s="20" t="s">
        <v>14</v>
      </c>
      <c r="C127" s="22">
        <f>SUM(C122:C126)</f>
        <v>0</v>
      </c>
      <c r="D127" s="19"/>
      <c r="E127" s="22">
        <f>SUM(E122:E126)</f>
        <v>17277</v>
      </c>
      <c r="F127" s="19"/>
      <c r="G127" s="22">
        <f>SUM(G122:G126)</f>
        <v>62996</v>
      </c>
      <c r="H127" s="19"/>
      <c r="I127" s="22">
        <f>SUM(I122:I126)</f>
        <v>348994</v>
      </c>
      <c r="J127" s="19"/>
      <c r="K127" s="23">
        <f t="shared" si="1"/>
        <v>429267</v>
      </c>
      <c r="L127" s="19"/>
      <c r="M127" s="22">
        <f>SUM(M122:M126)</f>
        <v>137241</v>
      </c>
      <c r="N127" s="19"/>
      <c r="O127" s="22">
        <f>SUM(O122:O126)</f>
        <v>290946</v>
      </c>
      <c r="P127" s="19"/>
      <c r="Q127" s="22">
        <f>SUM(Q122:Q126)</f>
        <v>1080</v>
      </c>
      <c r="R127" s="6"/>
    </row>
    <row r="128" spans="1:18" s="3" customFormat="1" ht="13.5" customHeight="1">
      <c r="A128" s="19"/>
      <c r="B128" s="20" t="s">
        <v>14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6"/>
    </row>
    <row r="129" spans="1:18" s="3" customFormat="1" ht="13.5" customHeight="1">
      <c r="A129" s="19" t="s">
        <v>205</v>
      </c>
      <c r="B129" s="20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6"/>
    </row>
    <row r="130" spans="1:18" s="3" customFormat="1" ht="13.5" customHeight="1">
      <c r="A130" s="19" t="s">
        <v>185</v>
      </c>
      <c r="B130" s="20"/>
      <c r="C130" s="19">
        <v>0</v>
      </c>
      <c r="D130" s="19"/>
      <c r="E130" s="19">
        <v>26156</v>
      </c>
      <c r="F130" s="19"/>
      <c r="G130" s="19">
        <v>378</v>
      </c>
      <c r="H130" s="19"/>
      <c r="I130" s="19">
        <v>1995878</v>
      </c>
      <c r="J130" s="19"/>
      <c r="K130" s="19">
        <f t="shared" si="1"/>
        <v>2022412</v>
      </c>
      <c r="L130" s="19"/>
      <c r="M130" s="19">
        <v>1329962</v>
      </c>
      <c r="N130" s="19"/>
      <c r="O130" s="19">
        <f>687052+1</f>
        <v>687053</v>
      </c>
      <c r="P130" s="19"/>
      <c r="Q130" s="19">
        <v>5397</v>
      </c>
      <c r="R130" s="6"/>
    </row>
    <row r="131" spans="1:18" s="3" customFormat="1" ht="13.5" customHeight="1">
      <c r="A131" s="19" t="s">
        <v>38</v>
      </c>
      <c r="B131" s="20"/>
      <c r="C131" s="19">
        <v>0</v>
      </c>
      <c r="D131" s="19"/>
      <c r="E131" s="19">
        <v>0</v>
      </c>
      <c r="F131" s="19"/>
      <c r="G131" s="19">
        <v>0</v>
      </c>
      <c r="H131" s="19"/>
      <c r="I131" s="19">
        <v>127795</v>
      </c>
      <c r="J131" s="19"/>
      <c r="K131" s="19">
        <f t="shared" si="1"/>
        <v>127795</v>
      </c>
      <c r="L131" s="19"/>
      <c r="M131" s="19">
        <v>18962</v>
      </c>
      <c r="N131" s="19"/>
      <c r="O131" s="19">
        <v>108833</v>
      </c>
      <c r="P131" s="19"/>
      <c r="Q131" s="19">
        <v>0</v>
      </c>
      <c r="R131" s="6"/>
    </row>
    <row r="132" spans="1:18" s="3" customFormat="1" ht="13.5" customHeight="1">
      <c r="A132" s="19" t="s">
        <v>186</v>
      </c>
      <c r="B132" s="20"/>
      <c r="C132" s="24">
        <v>0</v>
      </c>
      <c r="D132" s="19"/>
      <c r="E132" s="19">
        <v>25686970</v>
      </c>
      <c r="F132" s="19"/>
      <c r="G132" s="19">
        <v>3739</v>
      </c>
      <c r="H132" s="19"/>
      <c r="I132" s="19">
        <v>115</v>
      </c>
      <c r="J132" s="19"/>
      <c r="K132" s="22">
        <f t="shared" si="1"/>
        <v>25690824</v>
      </c>
      <c r="L132" s="19"/>
      <c r="M132" s="19">
        <v>8311086</v>
      </c>
      <c r="N132" s="19"/>
      <c r="O132" s="19">
        <v>13343545</v>
      </c>
      <c r="P132" s="19"/>
      <c r="Q132" s="19">
        <v>4036193</v>
      </c>
      <c r="R132" s="6"/>
    </row>
    <row r="133" spans="1:18" s="3" customFormat="1" ht="13.5" customHeight="1">
      <c r="A133" s="19" t="s">
        <v>183</v>
      </c>
      <c r="B133" s="20"/>
      <c r="C133" s="23">
        <f>SUM(C130:C132)</f>
        <v>0</v>
      </c>
      <c r="D133" s="19"/>
      <c r="E133" s="23">
        <f>SUM(E130:E132)</f>
        <v>25713126</v>
      </c>
      <c r="F133" s="19"/>
      <c r="G133" s="23">
        <f>SUM(G130:G132)</f>
        <v>4117</v>
      </c>
      <c r="H133" s="19"/>
      <c r="I133" s="23">
        <f>SUM(I130:I132)</f>
        <v>2123788</v>
      </c>
      <c r="J133" s="19"/>
      <c r="K133" s="23">
        <f t="shared" si="1"/>
        <v>27841031</v>
      </c>
      <c r="L133" s="19"/>
      <c r="M133" s="23">
        <f>SUM(M130:M132)</f>
        <v>9660010</v>
      </c>
      <c r="N133" s="19"/>
      <c r="O133" s="23">
        <f>SUM(O130:O132)</f>
        <v>14139431</v>
      </c>
      <c r="P133" s="19"/>
      <c r="Q133" s="23">
        <f>SUM(Q130:Q132)</f>
        <v>4041590</v>
      </c>
      <c r="R133" s="6"/>
    </row>
    <row r="134" spans="1:18" s="3" customFormat="1" ht="13.5" customHeight="1">
      <c r="A134" s="19"/>
      <c r="B134" s="20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6"/>
    </row>
    <row r="135" spans="1:18" s="3" customFormat="1" ht="13.5" customHeight="1">
      <c r="A135" s="19"/>
      <c r="B135" s="20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6"/>
    </row>
    <row r="136" spans="1:18" s="3" customFormat="1" ht="13.5" customHeight="1">
      <c r="A136" s="19" t="s">
        <v>76</v>
      </c>
      <c r="B136" s="20" t="s">
        <v>14</v>
      </c>
      <c r="C136" s="22">
        <v>93968</v>
      </c>
      <c r="D136" s="19"/>
      <c r="E136" s="22">
        <v>1987</v>
      </c>
      <c r="F136" s="19"/>
      <c r="G136" s="22">
        <v>8531</v>
      </c>
      <c r="H136" s="19"/>
      <c r="I136" s="22">
        <v>25304</v>
      </c>
      <c r="J136" s="19"/>
      <c r="K136" s="22">
        <f t="shared" si="1"/>
        <v>129790</v>
      </c>
      <c r="L136" s="19"/>
      <c r="M136" s="22">
        <v>97590</v>
      </c>
      <c r="N136" s="19"/>
      <c r="O136" s="22">
        <v>23735</v>
      </c>
      <c r="P136" s="19"/>
      <c r="Q136" s="22">
        <v>8465</v>
      </c>
      <c r="R136" s="6"/>
    </row>
    <row r="137" spans="1:18" s="3" customFormat="1" ht="13.5" customHeight="1">
      <c r="A137" s="19"/>
      <c r="B137" s="20"/>
      <c r="C137" s="24"/>
      <c r="D137" s="19"/>
      <c r="E137" s="24"/>
      <c r="F137" s="19"/>
      <c r="G137" s="24"/>
      <c r="H137" s="19"/>
      <c r="I137" s="24"/>
      <c r="J137" s="19"/>
      <c r="K137" s="19"/>
      <c r="L137" s="19"/>
      <c r="M137" s="24"/>
      <c r="N137" s="19"/>
      <c r="O137" s="24"/>
      <c r="P137" s="19"/>
      <c r="Q137" s="24"/>
      <c r="R137" s="6"/>
    </row>
    <row r="138" spans="1:18" s="3" customFormat="1" ht="13.5" customHeight="1">
      <c r="A138" s="19" t="s">
        <v>287</v>
      </c>
      <c r="B138" s="20"/>
      <c r="C138" s="22">
        <v>135492</v>
      </c>
      <c r="D138" s="19"/>
      <c r="E138" s="22">
        <v>578702</v>
      </c>
      <c r="F138" s="19"/>
      <c r="G138" s="22">
        <v>202094</v>
      </c>
      <c r="H138" s="19"/>
      <c r="I138" s="22">
        <v>184695</v>
      </c>
      <c r="J138" s="19"/>
      <c r="K138" s="22">
        <f t="shared" si="1"/>
        <v>1100983</v>
      </c>
      <c r="L138" s="19"/>
      <c r="M138" s="22">
        <v>774931</v>
      </c>
      <c r="N138" s="19"/>
      <c r="O138" s="22">
        <f>208835-1</f>
        <v>208834</v>
      </c>
      <c r="P138" s="19"/>
      <c r="Q138" s="22">
        <v>117218</v>
      </c>
      <c r="R138" s="6"/>
    </row>
    <row r="139" spans="1:18" s="3" customFormat="1" ht="13.5" customHeight="1">
      <c r="A139" s="19"/>
      <c r="B139" s="20" t="s">
        <v>14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6"/>
    </row>
    <row r="140" spans="1:18" s="3" customFormat="1" ht="13.5" customHeight="1">
      <c r="A140" s="19" t="s">
        <v>77</v>
      </c>
      <c r="B140" s="20" t="s">
        <v>14</v>
      </c>
      <c r="C140" s="22">
        <v>21375</v>
      </c>
      <c r="D140" s="19"/>
      <c r="E140" s="22">
        <v>0</v>
      </c>
      <c r="F140" s="19"/>
      <c r="G140" s="22">
        <v>0</v>
      </c>
      <c r="H140" s="19"/>
      <c r="I140" s="22">
        <v>0</v>
      </c>
      <c r="J140" s="19"/>
      <c r="K140" s="22">
        <f t="shared" si="1"/>
        <v>21375</v>
      </c>
      <c r="L140" s="19"/>
      <c r="M140" s="22">
        <v>21375</v>
      </c>
      <c r="N140" s="19"/>
      <c r="O140" s="22">
        <v>0</v>
      </c>
      <c r="P140" s="19"/>
      <c r="Q140" s="22">
        <v>0</v>
      </c>
      <c r="R140" s="6"/>
    </row>
    <row r="141" spans="1:18" s="3" customFormat="1" ht="13.5" customHeight="1">
      <c r="A141" s="19"/>
      <c r="B141" s="20" t="s">
        <v>14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6"/>
    </row>
    <row r="142" spans="1:18" s="3" customFormat="1" ht="13.5" customHeight="1">
      <c r="A142" s="19" t="s">
        <v>78</v>
      </c>
      <c r="B142" s="20" t="s">
        <v>14</v>
      </c>
      <c r="C142" s="22">
        <v>0</v>
      </c>
      <c r="D142" s="19"/>
      <c r="E142" s="22">
        <v>0</v>
      </c>
      <c r="F142" s="19"/>
      <c r="G142" s="22">
        <v>0</v>
      </c>
      <c r="H142" s="19"/>
      <c r="I142" s="22">
        <v>3430423</v>
      </c>
      <c r="J142" s="19"/>
      <c r="K142" s="22">
        <f t="shared" si="1"/>
        <v>3430423</v>
      </c>
      <c r="L142" s="19"/>
      <c r="M142" s="22">
        <v>822393</v>
      </c>
      <c r="N142" s="19"/>
      <c r="O142" s="22">
        <f>2608029+1</f>
        <v>2608030</v>
      </c>
      <c r="P142" s="19"/>
      <c r="Q142" s="22">
        <v>0</v>
      </c>
      <c r="R142" s="6"/>
    </row>
    <row r="143" spans="1:18" s="3" customFormat="1" ht="13.5" customHeight="1">
      <c r="A143" s="19"/>
      <c r="B143" s="20" t="s">
        <v>14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6"/>
    </row>
    <row r="144" spans="1:18" s="3" customFormat="1" ht="13.5" customHeight="1">
      <c r="A144" s="19" t="s">
        <v>79</v>
      </c>
      <c r="B144" s="20" t="s">
        <v>14</v>
      </c>
      <c r="C144" s="22">
        <v>0</v>
      </c>
      <c r="D144" s="19"/>
      <c r="E144" s="22">
        <v>342402</v>
      </c>
      <c r="F144" s="19"/>
      <c r="G144" s="22">
        <v>11575</v>
      </c>
      <c r="H144" s="19"/>
      <c r="I144" s="22">
        <v>5839</v>
      </c>
      <c r="J144" s="19"/>
      <c r="K144" s="22">
        <f t="shared" si="1"/>
        <v>359816</v>
      </c>
      <c r="L144" s="19"/>
      <c r="M144" s="22">
        <v>278812</v>
      </c>
      <c r="N144" s="19"/>
      <c r="O144" s="22">
        <f>57071+1</f>
        <v>57072</v>
      </c>
      <c r="P144" s="19"/>
      <c r="Q144" s="22">
        <v>23932</v>
      </c>
      <c r="R144" s="6"/>
    </row>
    <row r="145" spans="1:18" s="3" customFormat="1" ht="13.5" customHeight="1">
      <c r="A145" s="19"/>
      <c r="B145" s="20" t="s">
        <v>14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6"/>
    </row>
    <row r="146" spans="1:18" s="3" customFormat="1" ht="13.5" customHeight="1">
      <c r="A146" s="19" t="s">
        <v>23</v>
      </c>
      <c r="B146" s="20" t="s">
        <v>14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6"/>
    </row>
    <row r="147" spans="1:18" s="3" customFormat="1" ht="13.5" customHeight="1">
      <c r="A147" s="19" t="s">
        <v>80</v>
      </c>
      <c r="B147" s="20" t="s">
        <v>14</v>
      </c>
      <c r="C147" s="19">
        <v>0</v>
      </c>
      <c r="D147" s="19"/>
      <c r="E147" s="19">
        <v>0</v>
      </c>
      <c r="F147" s="19"/>
      <c r="G147" s="19">
        <v>110066</v>
      </c>
      <c r="H147" s="19"/>
      <c r="I147" s="19">
        <v>0</v>
      </c>
      <c r="J147" s="19"/>
      <c r="K147" s="19">
        <f t="shared" si="1"/>
        <v>110066</v>
      </c>
      <c r="L147" s="19"/>
      <c r="M147" s="19">
        <v>39709</v>
      </c>
      <c r="N147" s="19"/>
      <c r="O147" s="19">
        <v>70357</v>
      </c>
      <c r="P147" s="19"/>
      <c r="Q147" s="19">
        <v>0</v>
      </c>
      <c r="R147" s="6"/>
    </row>
    <row r="148" spans="1:18" s="3" customFormat="1" ht="13.5" customHeight="1">
      <c r="A148" s="19" t="s">
        <v>38</v>
      </c>
      <c r="B148" s="20" t="s">
        <v>14</v>
      </c>
      <c r="C148" s="19">
        <v>0</v>
      </c>
      <c r="D148" s="19"/>
      <c r="E148" s="19">
        <v>6270</v>
      </c>
      <c r="F148" s="19"/>
      <c r="G148" s="19">
        <v>172450</v>
      </c>
      <c r="H148" s="19"/>
      <c r="I148" s="19">
        <v>197093</v>
      </c>
      <c r="J148" s="19"/>
      <c r="K148" s="19">
        <f t="shared" si="1"/>
        <v>375813</v>
      </c>
      <c r="L148" s="19"/>
      <c r="M148" s="19">
        <v>159191</v>
      </c>
      <c r="N148" s="19"/>
      <c r="O148" s="19">
        <f>205260+1</f>
        <v>205261</v>
      </c>
      <c r="P148" s="19"/>
      <c r="Q148" s="19">
        <v>11361</v>
      </c>
      <c r="R148" s="6"/>
    </row>
    <row r="149" spans="1:18" s="3" customFormat="1" ht="13.5" customHeight="1">
      <c r="A149" s="19" t="s">
        <v>141</v>
      </c>
      <c r="B149" s="20"/>
      <c r="C149" s="19">
        <v>0</v>
      </c>
      <c r="D149" s="19"/>
      <c r="E149" s="19">
        <v>1335</v>
      </c>
      <c r="F149" s="19"/>
      <c r="G149" s="19">
        <v>0</v>
      </c>
      <c r="H149" s="19"/>
      <c r="I149" s="19">
        <v>0</v>
      </c>
      <c r="J149" s="19"/>
      <c r="K149" s="19">
        <f t="shared" si="1"/>
        <v>1335</v>
      </c>
      <c r="L149" s="19"/>
      <c r="M149" s="19">
        <v>23</v>
      </c>
      <c r="N149" s="19"/>
      <c r="O149" s="19">
        <v>1213</v>
      </c>
      <c r="P149" s="19"/>
      <c r="Q149" s="19">
        <v>99</v>
      </c>
      <c r="R149" s="6"/>
    </row>
    <row r="150" spans="1:18" s="4" customFormat="1" ht="13.5" customHeight="1">
      <c r="A150" s="19" t="s">
        <v>275</v>
      </c>
      <c r="B150" s="20"/>
      <c r="C150" s="24">
        <v>0</v>
      </c>
      <c r="D150" s="19"/>
      <c r="E150" s="24">
        <v>0</v>
      </c>
      <c r="F150" s="19"/>
      <c r="G150" s="24">
        <v>17813</v>
      </c>
      <c r="H150" s="19"/>
      <c r="I150" s="24">
        <v>0</v>
      </c>
      <c r="J150" s="19"/>
      <c r="K150" s="24">
        <f t="shared" si="1"/>
        <v>17813</v>
      </c>
      <c r="L150" s="19"/>
      <c r="M150" s="24">
        <v>0</v>
      </c>
      <c r="N150" s="19"/>
      <c r="O150" s="24">
        <v>17813</v>
      </c>
      <c r="P150" s="19"/>
      <c r="Q150" s="24">
        <v>0</v>
      </c>
      <c r="R150" s="7"/>
    </row>
    <row r="151" spans="1:18" s="4" customFormat="1" ht="13.5" customHeight="1">
      <c r="A151" s="19" t="s">
        <v>295</v>
      </c>
      <c r="B151" s="20"/>
      <c r="C151" s="22">
        <v>0</v>
      </c>
      <c r="D151" s="19"/>
      <c r="E151" s="22">
        <v>0</v>
      </c>
      <c r="F151" s="19"/>
      <c r="G151" s="22">
        <v>0</v>
      </c>
      <c r="H151" s="19"/>
      <c r="I151" s="22">
        <v>64084</v>
      </c>
      <c r="J151" s="19"/>
      <c r="K151" s="22">
        <f t="shared" si="1"/>
        <v>64084</v>
      </c>
      <c r="L151" s="19"/>
      <c r="M151" s="22">
        <v>2197</v>
      </c>
      <c r="N151" s="19"/>
      <c r="O151" s="22">
        <v>61887</v>
      </c>
      <c r="P151" s="19"/>
      <c r="Q151" s="22">
        <v>0</v>
      </c>
      <c r="R151" s="7"/>
    </row>
    <row r="152" spans="1:18" s="3" customFormat="1" ht="13.5" customHeight="1">
      <c r="A152" s="19" t="s">
        <v>151</v>
      </c>
      <c r="B152" s="20" t="s">
        <v>14</v>
      </c>
      <c r="C152" s="22">
        <f>SUM(C147:C151)</f>
        <v>0</v>
      </c>
      <c r="D152" s="19"/>
      <c r="E152" s="22">
        <f>SUM(E147:E151)</f>
        <v>7605</v>
      </c>
      <c r="F152" s="19"/>
      <c r="G152" s="22">
        <f>SUM(G147:G151)</f>
        <v>300329</v>
      </c>
      <c r="H152" s="19"/>
      <c r="I152" s="22">
        <f>SUM(I147:I151)</f>
        <v>261177</v>
      </c>
      <c r="J152" s="19"/>
      <c r="K152" s="23">
        <f t="shared" si="1"/>
        <v>569111</v>
      </c>
      <c r="L152" s="19"/>
      <c r="M152" s="22">
        <f>SUM(M147:M151)</f>
        <v>201120</v>
      </c>
      <c r="N152" s="19"/>
      <c r="O152" s="22">
        <f>SUM(O147:O151)</f>
        <v>356531</v>
      </c>
      <c r="P152" s="19"/>
      <c r="Q152" s="22">
        <f>SUM(Q147:Q151)</f>
        <v>11460</v>
      </c>
      <c r="R152" s="6"/>
    </row>
    <row r="153" spans="1:18" s="3" customFormat="1" ht="13.5" customHeight="1">
      <c r="A153" s="19"/>
      <c r="B153" s="20" t="s">
        <v>14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6"/>
    </row>
    <row r="154" spans="1:18" s="3" customFormat="1" ht="13.5" customHeight="1">
      <c r="A154" s="19" t="s">
        <v>231</v>
      </c>
      <c r="B154" s="20"/>
      <c r="C154" s="25">
        <v>88579</v>
      </c>
      <c r="D154" s="19"/>
      <c r="E154" s="25">
        <v>0</v>
      </c>
      <c r="F154" s="19"/>
      <c r="G154" s="25">
        <v>0</v>
      </c>
      <c r="H154" s="19"/>
      <c r="I154" s="25">
        <v>0</v>
      </c>
      <c r="J154" s="19"/>
      <c r="K154" s="25">
        <f t="shared" si="1"/>
        <v>88579</v>
      </c>
      <c r="L154" s="19"/>
      <c r="M154" s="25">
        <v>0</v>
      </c>
      <c r="N154" s="19"/>
      <c r="O154" s="25">
        <v>88579</v>
      </c>
      <c r="P154" s="19"/>
      <c r="Q154" s="25">
        <v>0</v>
      </c>
      <c r="R154" s="6"/>
    </row>
    <row r="155" spans="1:18" s="3" customFormat="1" ht="13.5" customHeight="1">
      <c r="A155" s="19"/>
      <c r="B155" s="20"/>
      <c r="C155" s="19"/>
      <c r="D155" s="19"/>
      <c r="E155" s="19"/>
      <c r="F155" s="19"/>
      <c r="G155" s="19"/>
      <c r="H155" s="19"/>
      <c r="I155" s="19"/>
      <c r="J155" s="19"/>
      <c r="K155" s="24"/>
      <c r="L155" s="19"/>
      <c r="M155" s="19"/>
      <c r="N155" s="19"/>
      <c r="O155" s="19"/>
      <c r="P155" s="19"/>
      <c r="Q155" s="19"/>
      <c r="R155" s="6"/>
    </row>
    <row r="156" spans="1:18" s="3" customFormat="1" ht="13.5" customHeight="1">
      <c r="A156" s="19" t="s">
        <v>152</v>
      </c>
      <c r="B156" s="20" t="s">
        <v>14</v>
      </c>
      <c r="C156" s="22">
        <f>SUM(C152,C144,C142,C140,C138,C117,C136,C133,C127,C119,C115,C113,C111,C109,C99,C93,C91,C87,C81,C79,C65,C55,C154,C40,C32,C19,C89)</f>
        <v>4365272</v>
      </c>
      <c r="D156" s="26"/>
      <c r="E156" s="22">
        <f>SUM(E152,E144,E142,E140,E138,E117,E136,E133,E127,E119,E115,E113,E111,E109,E99,E93,E91,E87,E81,E79,E65,E55,E154,E40,E32,E19,E89)</f>
        <v>29152339</v>
      </c>
      <c r="F156" s="26"/>
      <c r="G156" s="22">
        <f>SUM(G152,G144,G142,G140,G138,G117,G136,G133,G127,G119,G115,G113,G111,G109,G99,G93,G91,G87,G81,G79,G65,G55,G154,G40,G32,G19,G89)</f>
        <v>5118967</v>
      </c>
      <c r="H156" s="26"/>
      <c r="I156" s="22">
        <f>SUM(I152,I144,I142,I140,I138,I117,I136,I133,I127,I119,I115,I113,I111,I109,I99,I93,I91,I87,I81,I79,I65,I55,I154,I40,I32,I19,I89)</f>
        <v>8656309</v>
      </c>
      <c r="J156" s="24"/>
      <c r="K156" s="22">
        <f t="shared" si="1"/>
        <v>47292887</v>
      </c>
      <c r="L156" s="24"/>
      <c r="M156" s="22">
        <f>SUM(M152,M144,M142,M140,M138,M117,M136,M133,M127,M119,M115,M113,M111,M109,M99,M93,M91,M87,M81,M79,M65,M55,M154,M40,M32,M19,M89)</f>
        <v>19877465</v>
      </c>
      <c r="N156" s="24"/>
      <c r="O156" s="22">
        <f>SUM(O152,O144,O142,O140,O138,O117,O136,O133,O127,O119,O115,O113,O111,O109,O99,O93,O91,O87,O81,O79,O65,O55,O154,O40,O32,O19,O89)</f>
        <v>22538910</v>
      </c>
      <c r="P156" s="26"/>
      <c r="Q156" s="22">
        <f>SUM(Q152,Q144,Q142,Q140,Q138,Q117,Q136,Q133,Q127,Q119,Q115,Q113,Q111,Q109,Q99,Q93,Q91,Q87,Q81,Q79,Q65,Q55,Q154,Q40,Q32,Q19,Q89)</f>
        <v>4876512</v>
      </c>
      <c r="R156" s="6"/>
    </row>
    <row r="157" spans="1:18" s="3" customFormat="1" ht="13.5" customHeight="1">
      <c r="A157" s="19"/>
      <c r="B157" s="20" t="s">
        <v>14</v>
      </c>
      <c r="C157" s="19"/>
      <c r="D157" s="19"/>
      <c r="E157" s="19"/>
      <c r="F157" s="26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6"/>
    </row>
    <row r="158" spans="1:18" s="3" customFormat="1" ht="13.5" customHeight="1">
      <c r="A158" s="19" t="s">
        <v>21</v>
      </c>
      <c r="B158" s="20" t="s">
        <v>14</v>
      </c>
      <c r="C158" s="19" t="s">
        <v>14</v>
      </c>
      <c r="D158" s="19"/>
      <c r="E158" s="19" t="s">
        <v>14</v>
      </c>
      <c r="F158" s="19"/>
      <c r="G158" s="19" t="s">
        <v>14</v>
      </c>
      <c r="H158" s="19"/>
      <c r="I158" s="19" t="s">
        <v>14</v>
      </c>
      <c r="J158" s="19"/>
      <c r="K158" s="19"/>
      <c r="L158" s="19"/>
      <c r="M158" s="19" t="s">
        <v>14</v>
      </c>
      <c r="N158" s="19"/>
      <c r="O158" s="19" t="s">
        <v>14</v>
      </c>
      <c r="P158" s="19"/>
      <c r="Q158" s="19" t="s">
        <v>14</v>
      </c>
      <c r="R158" s="6"/>
    </row>
    <row r="159" spans="1:18" s="3" customFormat="1" ht="13.5" customHeight="1">
      <c r="A159" s="19"/>
      <c r="B159" s="20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6"/>
    </row>
    <row r="160" spans="1:18" s="3" customFormat="1" ht="13.5" customHeight="1">
      <c r="A160" s="19" t="s">
        <v>12</v>
      </c>
      <c r="B160" s="20" t="s">
        <v>14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 t="s">
        <v>14</v>
      </c>
      <c r="N160" s="19"/>
      <c r="O160" s="19" t="s">
        <v>14</v>
      </c>
      <c r="P160" s="19"/>
      <c r="Q160" s="19" t="s">
        <v>14</v>
      </c>
      <c r="R160" s="6"/>
    </row>
    <row r="161" spans="1:18" s="3" customFormat="1" ht="13.5" customHeight="1">
      <c r="A161" s="19" t="s">
        <v>237</v>
      </c>
      <c r="B161" s="20" t="s">
        <v>14</v>
      </c>
      <c r="C161" s="19">
        <v>0</v>
      </c>
      <c r="D161" s="19"/>
      <c r="E161" s="19">
        <v>55457</v>
      </c>
      <c r="F161" s="19"/>
      <c r="G161" s="19">
        <v>9051</v>
      </c>
      <c r="H161" s="19"/>
      <c r="I161" s="19">
        <v>2594</v>
      </c>
      <c r="J161" s="19"/>
      <c r="K161" s="19">
        <f>IF(SUM(C161:I161)=SUM(M161:Q161),SUM(C161:I161),SUM(M161:Q161)-SUM(C161:I161))</f>
        <v>67102</v>
      </c>
      <c r="L161" s="19"/>
      <c r="M161" s="19">
        <v>38599</v>
      </c>
      <c r="N161" s="19"/>
      <c r="O161" s="19">
        <v>10772</v>
      </c>
      <c r="P161" s="19"/>
      <c r="Q161" s="19">
        <v>17731</v>
      </c>
      <c r="R161" s="6"/>
    </row>
    <row r="162" spans="1:18" s="3" customFormat="1" ht="13.5" customHeight="1">
      <c r="A162" s="19" t="s">
        <v>81</v>
      </c>
      <c r="B162" s="20" t="s">
        <v>14</v>
      </c>
      <c r="C162" s="19">
        <v>9943</v>
      </c>
      <c r="D162" s="19"/>
      <c r="E162" s="19">
        <v>39788</v>
      </c>
      <c r="F162" s="19"/>
      <c r="G162" s="19">
        <v>1408</v>
      </c>
      <c r="H162" s="19"/>
      <c r="I162" s="19">
        <v>3335</v>
      </c>
      <c r="J162" s="19"/>
      <c r="K162" s="19">
        <f aca="true" t="shared" si="2" ref="K162:K219">IF(SUM(C162:I162)=SUM(M162:Q162),SUM(C162:I162),SUM(M162:Q162)-SUM(C162:I162))</f>
        <v>54474</v>
      </c>
      <c r="L162" s="19"/>
      <c r="M162" s="19">
        <v>31668</v>
      </c>
      <c r="N162" s="19"/>
      <c r="O162" s="19">
        <f>8525+1</f>
        <v>8526</v>
      </c>
      <c r="P162" s="19"/>
      <c r="Q162" s="19">
        <v>14280</v>
      </c>
      <c r="R162" s="6"/>
    </row>
    <row r="163" spans="1:18" s="3" customFormat="1" ht="13.5" customHeight="1">
      <c r="A163" s="19" t="s">
        <v>82</v>
      </c>
      <c r="B163" s="20" t="s">
        <v>14</v>
      </c>
      <c r="C163" s="19">
        <v>0</v>
      </c>
      <c r="D163" s="19"/>
      <c r="E163" s="19">
        <v>0</v>
      </c>
      <c r="F163" s="19"/>
      <c r="G163" s="19">
        <v>14243</v>
      </c>
      <c r="H163" s="19"/>
      <c r="I163" s="19">
        <v>11400</v>
      </c>
      <c r="J163" s="19"/>
      <c r="K163" s="19">
        <f t="shared" si="2"/>
        <v>25643</v>
      </c>
      <c r="L163" s="19"/>
      <c r="M163" s="19">
        <v>3580</v>
      </c>
      <c r="N163" s="19"/>
      <c r="O163" s="19">
        <v>22063</v>
      </c>
      <c r="P163" s="19"/>
      <c r="Q163" s="19">
        <v>0</v>
      </c>
      <c r="R163" s="6"/>
    </row>
    <row r="164" spans="1:18" s="3" customFormat="1" ht="13.5" customHeight="1">
      <c r="A164" s="19" t="s">
        <v>174</v>
      </c>
      <c r="B164" s="20" t="s">
        <v>14</v>
      </c>
      <c r="C164" s="19">
        <v>0</v>
      </c>
      <c r="D164" s="19"/>
      <c r="E164" s="19">
        <v>26044</v>
      </c>
      <c r="F164" s="19"/>
      <c r="G164" s="19">
        <v>0</v>
      </c>
      <c r="H164" s="19"/>
      <c r="I164" s="19">
        <v>11610</v>
      </c>
      <c r="J164" s="19"/>
      <c r="K164" s="19">
        <f t="shared" si="2"/>
        <v>37654</v>
      </c>
      <c r="L164" s="19"/>
      <c r="M164" s="19">
        <v>17362</v>
      </c>
      <c r="N164" s="19"/>
      <c r="O164" s="19">
        <f>15084-1</f>
        <v>15083</v>
      </c>
      <c r="P164" s="19"/>
      <c r="Q164" s="19">
        <v>5209</v>
      </c>
      <c r="R164" s="6"/>
    </row>
    <row r="165" spans="1:18" s="3" customFormat="1" ht="13.5" customHeight="1">
      <c r="A165" s="19" t="s">
        <v>83</v>
      </c>
      <c r="B165" s="20" t="s">
        <v>14</v>
      </c>
      <c r="C165" s="19">
        <v>0</v>
      </c>
      <c r="D165" s="19"/>
      <c r="E165" s="19">
        <v>0</v>
      </c>
      <c r="F165" s="19"/>
      <c r="G165" s="19">
        <v>8116</v>
      </c>
      <c r="H165" s="19"/>
      <c r="I165" s="19">
        <v>2298</v>
      </c>
      <c r="J165" s="19"/>
      <c r="K165" s="19">
        <f t="shared" si="2"/>
        <v>10414</v>
      </c>
      <c r="L165" s="19"/>
      <c r="M165" s="19">
        <v>6581</v>
      </c>
      <c r="N165" s="19"/>
      <c r="O165" s="19">
        <v>3833</v>
      </c>
      <c r="P165" s="19"/>
      <c r="Q165" s="19">
        <v>0</v>
      </c>
      <c r="R165" s="6"/>
    </row>
    <row r="166" spans="1:18" s="3" customFormat="1" ht="13.5" customHeight="1">
      <c r="A166" s="19" t="s">
        <v>84</v>
      </c>
      <c r="B166" s="20" t="s">
        <v>14</v>
      </c>
      <c r="C166" s="19">
        <v>34418</v>
      </c>
      <c r="D166" s="19"/>
      <c r="E166" s="19">
        <v>0</v>
      </c>
      <c r="F166" s="19"/>
      <c r="G166" s="19">
        <v>39429</v>
      </c>
      <c r="H166" s="19"/>
      <c r="I166" s="19">
        <v>1029</v>
      </c>
      <c r="J166" s="19"/>
      <c r="K166" s="19">
        <f t="shared" si="2"/>
        <v>74876</v>
      </c>
      <c r="L166" s="19"/>
      <c r="M166" s="19">
        <v>38500</v>
      </c>
      <c r="N166" s="19"/>
      <c r="O166" s="19">
        <v>31168</v>
      </c>
      <c r="P166" s="19"/>
      <c r="Q166" s="19">
        <v>5208</v>
      </c>
      <c r="R166" s="6"/>
    </row>
    <row r="167" spans="1:18" s="3" customFormat="1" ht="13.5" customHeight="1">
      <c r="A167" s="19" t="s">
        <v>37</v>
      </c>
      <c r="B167" s="20"/>
      <c r="C167" s="19">
        <v>27735</v>
      </c>
      <c r="D167" s="19"/>
      <c r="E167" s="19">
        <v>0</v>
      </c>
      <c r="F167" s="19"/>
      <c r="G167" s="19">
        <v>37828</v>
      </c>
      <c r="H167" s="19"/>
      <c r="I167" s="19">
        <v>12101</v>
      </c>
      <c r="J167" s="19"/>
      <c r="K167" s="19">
        <f t="shared" si="2"/>
        <v>77664</v>
      </c>
      <c r="L167" s="19"/>
      <c r="M167" s="19">
        <v>24704</v>
      </c>
      <c r="N167" s="19"/>
      <c r="O167" s="19">
        <v>51337</v>
      </c>
      <c r="P167" s="19"/>
      <c r="Q167" s="19">
        <v>1623</v>
      </c>
      <c r="R167" s="6"/>
    </row>
    <row r="168" spans="1:18" s="3" customFormat="1" ht="13.5" customHeight="1">
      <c r="A168" s="19" t="s">
        <v>235</v>
      </c>
      <c r="B168" s="20"/>
      <c r="C168" s="19">
        <v>0</v>
      </c>
      <c r="D168" s="19"/>
      <c r="E168" s="19">
        <v>0</v>
      </c>
      <c r="F168" s="19"/>
      <c r="G168" s="19">
        <v>53300</v>
      </c>
      <c r="H168" s="19"/>
      <c r="I168" s="19">
        <v>0</v>
      </c>
      <c r="J168" s="19"/>
      <c r="K168" s="19">
        <f t="shared" si="2"/>
        <v>53300</v>
      </c>
      <c r="L168" s="19"/>
      <c r="M168" s="19">
        <v>34450</v>
      </c>
      <c r="N168" s="19"/>
      <c r="O168" s="19">
        <v>18850</v>
      </c>
      <c r="P168" s="19"/>
      <c r="Q168" s="19">
        <v>0</v>
      </c>
      <c r="R168" s="6"/>
    </row>
    <row r="169" spans="1:18" s="3" customFormat="1" ht="13.5" customHeight="1">
      <c r="A169" s="19" t="s">
        <v>38</v>
      </c>
      <c r="B169" s="20"/>
      <c r="C169" s="19">
        <v>0</v>
      </c>
      <c r="D169" s="19"/>
      <c r="E169" s="19">
        <v>0</v>
      </c>
      <c r="F169" s="19"/>
      <c r="G169" s="19">
        <v>0</v>
      </c>
      <c r="H169" s="19"/>
      <c r="I169" s="19">
        <v>18670</v>
      </c>
      <c r="J169" s="19"/>
      <c r="K169" s="19">
        <f t="shared" si="2"/>
        <v>18670</v>
      </c>
      <c r="L169" s="19"/>
      <c r="M169" s="19">
        <v>0</v>
      </c>
      <c r="N169" s="19"/>
      <c r="O169" s="19">
        <v>18670</v>
      </c>
      <c r="P169" s="19"/>
      <c r="Q169" s="19">
        <v>0</v>
      </c>
      <c r="R169" s="6"/>
    </row>
    <row r="170" spans="1:18" s="3" customFormat="1" ht="13.5" customHeight="1">
      <c r="A170" s="19" t="s">
        <v>276</v>
      </c>
      <c r="B170" s="20"/>
      <c r="C170" s="19">
        <v>0</v>
      </c>
      <c r="D170" s="19"/>
      <c r="E170" s="19">
        <v>75104</v>
      </c>
      <c r="F170" s="19"/>
      <c r="G170" s="19">
        <v>4968</v>
      </c>
      <c r="H170" s="19"/>
      <c r="I170" s="19">
        <v>325</v>
      </c>
      <c r="J170" s="19"/>
      <c r="K170" s="19">
        <f t="shared" si="2"/>
        <v>80397</v>
      </c>
      <c r="L170" s="19"/>
      <c r="M170" s="19">
        <v>77903</v>
      </c>
      <c r="N170" s="19"/>
      <c r="O170" s="19">
        <f>2495-1</f>
        <v>2494</v>
      </c>
      <c r="P170" s="19"/>
      <c r="Q170" s="19">
        <v>0</v>
      </c>
      <c r="R170" s="6"/>
    </row>
    <row r="171" spans="1:18" s="3" customFormat="1" ht="13.5" customHeight="1">
      <c r="A171" s="19" t="s">
        <v>177</v>
      </c>
      <c r="B171" s="19" t="s">
        <v>15</v>
      </c>
      <c r="C171" s="19">
        <v>0</v>
      </c>
      <c r="D171" s="19"/>
      <c r="E171" s="19">
        <v>0</v>
      </c>
      <c r="F171" s="19"/>
      <c r="G171" s="19">
        <v>0</v>
      </c>
      <c r="H171" s="19"/>
      <c r="I171" s="19">
        <v>3080</v>
      </c>
      <c r="J171" s="19"/>
      <c r="K171" s="22">
        <f t="shared" si="2"/>
        <v>3080</v>
      </c>
      <c r="L171" s="19"/>
      <c r="M171" s="19">
        <v>0</v>
      </c>
      <c r="N171" s="19"/>
      <c r="O171" s="19">
        <v>3080</v>
      </c>
      <c r="P171" s="19"/>
      <c r="Q171" s="19">
        <v>0</v>
      </c>
      <c r="R171" s="6"/>
    </row>
    <row r="172" spans="1:18" s="3" customFormat="1" ht="13.5" customHeight="1">
      <c r="A172" s="19" t="s">
        <v>144</v>
      </c>
      <c r="B172" s="20" t="s">
        <v>14</v>
      </c>
      <c r="C172" s="23">
        <f>SUM(C161:C171)</f>
        <v>72096</v>
      </c>
      <c r="D172" s="19"/>
      <c r="E172" s="23">
        <f>SUM(E161:E171)</f>
        <v>196393</v>
      </c>
      <c r="F172" s="19"/>
      <c r="G172" s="23">
        <f>SUM(G161:G171)</f>
        <v>168343</v>
      </c>
      <c r="H172" s="19"/>
      <c r="I172" s="23">
        <f>SUM(I161:I171)</f>
        <v>66442</v>
      </c>
      <c r="J172" s="19"/>
      <c r="K172" s="23">
        <f t="shared" si="2"/>
        <v>503274</v>
      </c>
      <c r="L172" s="19"/>
      <c r="M172" s="23">
        <f>SUM(M161:M171)</f>
        <v>273347</v>
      </c>
      <c r="N172" s="19"/>
      <c r="O172" s="23">
        <f>SUM(O161:O171)</f>
        <v>185876</v>
      </c>
      <c r="P172" s="19"/>
      <c r="Q172" s="23">
        <f>SUM(Q161:Q171)</f>
        <v>44051</v>
      </c>
      <c r="R172" s="6"/>
    </row>
    <row r="173" spans="1:18" s="3" customFormat="1" ht="13.5" customHeight="1">
      <c r="A173" s="19"/>
      <c r="B173" s="20"/>
      <c r="C173" s="24"/>
      <c r="D173" s="19"/>
      <c r="E173" s="24"/>
      <c r="F173" s="19"/>
      <c r="G173" s="24"/>
      <c r="H173" s="19"/>
      <c r="I173" s="24"/>
      <c r="J173" s="19"/>
      <c r="K173" s="19"/>
      <c r="L173" s="19"/>
      <c r="M173" s="24"/>
      <c r="N173" s="19"/>
      <c r="O173" s="24"/>
      <c r="P173" s="19"/>
      <c r="Q173" s="24"/>
      <c r="R173" s="6"/>
    </row>
    <row r="174" spans="1:18" s="3" customFormat="1" ht="13.5" customHeight="1">
      <c r="A174" s="19" t="s">
        <v>195</v>
      </c>
      <c r="B174" s="20" t="s">
        <v>14</v>
      </c>
      <c r="C174" s="19" t="s">
        <v>14</v>
      </c>
      <c r="D174" s="19"/>
      <c r="E174" s="19" t="s">
        <v>14</v>
      </c>
      <c r="F174" s="19"/>
      <c r="G174" s="19" t="s">
        <v>14</v>
      </c>
      <c r="H174" s="19"/>
      <c r="I174" s="19" t="s">
        <v>14</v>
      </c>
      <c r="J174" s="19"/>
      <c r="K174" s="19"/>
      <c r="L174" s="19"/>
      <c r="M174" s="19" t="s">
        <v>14</v>
      </c>
      <c r="N174" s="19"/>
      <c r="O174" s="19" t="s">
        <v>14</v>
      </c>
      <c r="P174" s="19"/>
      <c r="Q174" s="19" t="s">
        <v>14</v>
      </c>
      <c r="R174" s="6"/>
    </row>
    <row r="175" spans="1:18" s="3" customFormat="1" ht="13.5" customHeight="1">
      <c r="A175" s="19" t="s">
        <v>93</v>
      </c>
      <c r="B175" s="20" t="s">
        <v>14</v>
      </c>
      <c r="C175" s="19">
        <v>0</v>
      </c>
      <c r="D175" s="19"/>
      <c r="E175" s="19">
        <v>7152</v>
      </c>
      <c r="F175" s="19"/>
      <c r="G175" s="19">
        <v>26297</v>
      </c>
      <c r="H175" s="19"/>
      <c r="I175" s="19">
        <v>0</v>
      </c>
      <c r="J175" s="19"/>
      <c r="K175" s="19">
        <f t="shared" si="2"/>
        <v>33449</v>
      </c>
      <c r="L175" s="19"/>
      <c r="M175" s="19">
        <v>22777</v>
      </c>
      <c r="N175" s="19"/>
      <c r="O175" s="19">
        <v>10672</v>
      </c>
      <c r="P175" s="19"/>
      <c r="Q175" s="19">
        <v>0</v>
      </c>
      <c r="R175" s="6"/>
    </row>
    <row r="176" spans="1:18" s="3" customFormat="1" ht="13.5" customHeight="1">
      <c r="A176" s="19" t="s">
        <v>63</v>
      </c>
      <c r="B176" s="20"/>
      <c r="C176" s="19">
        <v>18332</v>
      </c>
      <c r="D176" s="19"/>
      <c r="E176" s="19">
        <v>0</v>
      </c>
      <c r="F176" s="19"/>
      <c r="G176" s="19">
        <v>3688</v>
      </c>
      <c r="H176" s="19"/>
      <c r="I176" s="19">
        <v>0</v>
      </c>
      <c r="J176" s="19"/>
      <c r="K176" s="19">
        <f t="shared" si="2"/>
        <v>22020</v>
      </c>
      <c r="L176" s="19"/>
      <c r="M176" s="19">
        <v>4904</v>
      </c>
      <c r="N176" s="19"/>
      <c r="O176" s="19">
        <v>17116</v>
      </c>
      <c r="P176" s="19"/>
      <c r="Q176" s="19">
        <v>0</v>
      </c>
      <c r="R176" s="6"/>
    </row>
    <row r="177" spans="1:18" s="3" customFormat="1" ht="13.5" customHeight="1">
      <c r="A177" s="19" t="s">
        <v>64</v>
      </c>
      <c r="B177" s="20" t="s">
        <v>14</v>
      </c>
      <c r="C177" s="22">
        <v>2491</v>
      </c>
      <c r="D177" s="19"/>
      <c r="E177" s="22">
        <v>0</v>
      </c>
      <c r="F177" s="19"/>
      <c r="G177" s="22">
        <v>0</v>
      </c>
      <c r="H177" s="19"/>
      <c r="I177" s="22">
        <v>0</v>
      </c>
      <c r="J177" s="19"/>
      <c r="K177" s="22">
        <f t="shared" si="2"/>
        <v>2491</v>
      </c>
      <c r="L177" s="19"/>
      <c r="M177" s="22">
        <v>2491</v>
      </c>
      <c r="N177" s="19"/>
      <c r="O177" s="22">
        <v>0</v>
      </c>
      <c r="P177" s="19"/>
      <c r="Q177" s="22">
        <v>0</v>
      </c>
      <c r="R177" s="6"/>
    </row>
    <row r="178" spans="1:18" s="3" customFormat="1" ht="13.5" customHeight="1">
      <c r="A178" s="19" t="s">
        <v>217</v>
      </c>
      <c r="B178" s="20" t="s">
        <v>14</v>
      </c>
      <c r="C178" s="22">
        <f>SUM(C175:C177)</f>
        <v>20823</v>
      </c>
      <c r="D178" s="19"/>
      <c r="E178" s="22">
        <f>SUM(E175:E177)</f>
        <v>7152</v>
      </c>
      <c r="F178" s="19"/>
      <c r="G178" s="22">
        <f>SUM(G175:G177)</f>
        <v>29985</v>
      </c>
      <c r="H178" s="19"/>
      <c r="I178" s="22">
        <f>SUM(I175:I177)</f>
        <v>0</v>
      </c>
      <c r="J178" s="19"/>
      <c r="K178" s="23">
        <f t="shared" si="2"/>
        <v>57960</v>
      </c>
      <c r="L178" s="19"/>
      <c r="M178" s="22">
        <f>SUM(M175:M177)</f>
        <v>30172</v>
      </c>
      <c r="N178" s="19"/>
      <c r="O178" s="22">
        <f>SUM(O175:O177)</f>
        <v>27788</v>
      </c>
      <c r="P178" s="19"/>
      <c r="Q178" s="22">
        <f>SUM(Q175:Q177)</f>
        <v>0</v>
      </c>
      <c r="R178" s="6"/>
    </row>
    <row r="179" spans="1:18" s="3" customFormat="1" ht="13.5" customHeight="1">
      <c r="A179" s="19"/>
      <c r="B179" s="20" t="s">
        <v>14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6"/>
    </row>
    <row r="180" spans="1:18" s="3" customFormat="1" ht="13.5" customHeight="1">
      <c r="A180" s="19" t="s">
        <v>13</v>
      </c>
      <c r="B180" s="20" t="s">
        <v>14</v>
      </c>
      <c r="C180" s="19" t="s">
        <v>14</v>
      </c>
      <c r="D180" s="19"/>
      <c r="E180" s="19" t="s">
        <v>14</v>
      </c>
      <c r="F180" s="19"/>
      <c r="G180" s="19" t="s">
        <v>14</v>
      </c>
      <c r="H180" s="19"/>
      <c r="I180" s="19" t="s">
        <v>14</v>
      </c>
      <c r="J180" s="19"/>
      <c r="K180" s="19"/>
      <c r="L180" s="19"/>
      <c r="M180" s="19" t="s">
        <v>14</v>
      </c>
      <c r="N180" s="19"/>
      <c r="O180" s="19" t="s">
        <v>14</v>
      </c>
      <c r="P180" s="19"/>
      <c r="Q180" s="19" t="s">
        <v>14</v>
      </c>
      <c r="R180" s="6"/>
    </row>
    <row r="181" spans="1:18" s="3" customFormat="1" ht="13.5" customHeight="1">
      <c r="A181" s="19" t="s">
        <v>85</v>
      </c>
      <c r="B181" s="20" t="s">
        <v>14</v>
      </c>
      <c r="C181" s="19">
        <v>17968</v>
      </c>
      <c r="D181" s="19"/>
      <c r="E181" s="19">
        <v>286364</v>
      </c>
      <c r="F181" s="19"/>
      <c r="G181" s="19">
        <v>0</v>
      </c>
      <c r="H181" s="19"/>
      <c r="I181" s="19">
        <v>351</v>
      </c>
      <c r="J181" s="19"/>
      <c r="K181" s="19">
        <f aca="true" t="shared" si="3" ref="K181:K193">IF(SUM(C181:I181)=SUM(M181:Q181),SUM(C181:I181),SUM(M181:Q181)-SUM(C181:I181))</f>
        <v>304683</v>
      </c>
      <c r="L181" s="19"/>
      <c r="M181" s="19">
        <v>180040</v>
      </c>
      <c r="N181" s="19"/>
      <c r="O181" s="19">
        <f>28558+1</f>
        <v>28559</v>
      </c>
      <c r="P181" s="19"/>
      <c r="Q181" s="19">
        <v>96084</v>
      </c>
      <c r="R181" s="6"/>
    </row>
    <row r="182" spans="1:18" s="3" customFormat="1" ht="13.5" customHeight="1">
      <c r="A182" s="19" t="s">
        <v>139</v>
      </c>
      <c r="B182" s="20"/>
      <c r="C182" s="19">
        <v>45500</v>
      </c>
      <c r="D182" s="19"/>
      <c r="E182" s="19">
        <v>0</v>
      </c>
      <c r="F182" s="19"/>
      <c r="G182" s="19">
        <v>80283</v>
      </c>
      <c r="H182" s="19"/>
      <c r="I182" s="19">
        <v>0</v>
      </c>
      <c r="J182" s="19"/>
      <c r="K182" s="19">
        <f t="shared" si="3"/>
        <v>125783</v>
      </c>
      <c r="L182" s="19"/>
      <c r="M182" s="19">
        <v>89217</v>
      </c>
      <c r="N182" s="19"/>
      <c r="O182" s="19">
        <f>10529-1</f>
        <v>10528</v>
      </c>
      <c r="P182" s="19"/>
      <c r="Q182" s="19">
        <v>26038</v>
      </c>
      <c r="R182" s="6"/>
    </row>
    <row r="183" spans="1:18" s="3" customFormat="1" ht="13.5" customHeight="1">
      <c r="A183" s="19" t="s">
        <v>86</v>
      </c>
      <c r="B183" s="20" t="s">
        <v>14</v>
      </c>
      <c r="C183" s="19">
        <v>140096</v>
      </c>
      <c r="D183" s="19"/>
      <c r="E183" s="19">
        <v>23053</v>
      </c>
      <c r="F183" s="19"/>
      <c r="G183" s="19">
        <v>22333</v>
      </c>
      <c r="H183" s="19"/>
      <c r="I183" s="19">
        <v>29244</v>
      </c>
      <c r="J183" s="19"/>
      <c r="K183" s="19">
        <f t="shared" si="3"/>
        <v>214726</v>
      </c>
      <c r="L183" s="19"/>
      <c r="M183" s="19">
        <v>167545</v>
      </c>
      <c r="N183" s="19"/>
      <c r="O183" s="19">
        <v>39810</v>
      </c>
      <c r="P183" s="19"/>
      <c r="Q183" s="19">
        <v>7371</v>
      </c>
      <c r="R183" s="6"/>
    </row>
    <row r="184" spans="1:18" s="3" customFormat="1" ht="13.5" customHeight="1">
      <c r="A184" s="19" t="s">
        <v>87</v>
      </c>
      <c r="B184" s="20" t="s">
        <v>14</v>
      </c>
      <c r="C184" s="19">
        <v>0</v>
      </c>
      <c r="D184" s="19"/>
      <c r="E184" s="19">
        <v>0</v>
      </c>
      <c r="F184" s="19"/>
      <c r="G184" s="19">
        <v>23058</v>
      </c>
      <c r="H184" s="19"/>
      <c r="I184" s="19">
        <v>0</v>
      </c>
      <c r="J184" s="19"/>
      <c r="K184" s="19">
        <f t="shared" si="3"/>
        <v>23058</v>
      </c>
      <c r="L184" s="19"/>
      <c r="M184" s="19">
        <v>19371</v>
      </c>
      <c r="N184" s="19"/>
      <c r="O184" s="19">
        <f>3686+1</f>
        <v>3687</v>
      </c>
      <c r="P184" s="19"/>
      <c r="Q184" s="19">
        <v>0</v>
      </c>
      <c r="R184" s="6"/>
    </row>
    <row r="185" spans="1:18" s="3" customFormat="1" ht="13.5" customHeight="1">
      <c r="A185" s="19" t="s">
        <v>42</v>
      </c>
      <c r="B185" s="20"/>
      <c r="C185" s="19">
        <v>1924</v>
      </c>
      <c r="D185" s="19"/>
      <c r="E185" s="19">
        <v>0</v>
      </c>
      <c r="F185" s="19"/>
      <c r="G185" s="19">
        <v>253</v>
      </c>
      <c r="H185" s="19"/>
      <c r="I185" s="19">
        <v>1728</v>
      </c>
      <c r="J185" s="19"/>
      <c r="K185" s="19">
        <f t="shared" si="3"/>
        <v>3905</v>
      </c>
      <c r="L185" s="19"/>
      <c r="M185" s="19">
        <v>0</v>
      </c>
      <c r="N185" s="19"/>
      <c r="O185" s="19">
        <f>3904+1</f>
        <v>3905</v>
      </c>
      <c r="P185" s="19"/>
      <c r="Q185" s="19">
        <v>0</v>
      </c>
      <c r="R185" s="6"/>
    </row>
    <row r="186" spans="1:18" s="3" customFormat="1" ht="13.5" customHeight="1">
      <c r="A186" s="19" t="s">
        <v>88</v>
      </c>
      <c r="B186" s="20" t="s">
        <v>14</v>
      </c>
      <c r="C186" s="19">
        <v>11814</v>
      </c>
      <c r="D186" s="19"/>
      <c r="E186" s="19">
        <v>0</v>
      </c>
      <c r="F186" s="19"/>
      <c r="G186" s="19">
        <v>21288</v>
      </c>
      <c r="H186" s="19"/>
      <c r="I186" s="19">
        <v>5982</v>
      </c>
      <c r="J186" s="19"/>
      <c r="K186" s="19">
        <f>IF(SUM(C186:I186)=SUM(M186:Q186),SUM(C186:I186),SUM(M186:Q186)-SUM(C186:I186))</f>
        <v>39084</v>
      </c>
      <c r="L186" s="19"/>
      <c r="M186" s="19">
        <v>21916</v>
      </c>
      <c r="N186" s="19"/>
      <c r="O186" s="19">
        <v>17168</v>
      </c>
      <c r="P186" s="19"/>
      <c r="Q186" s="19">
        <v>0</v>
      </c>
      <c r="R186" s="6"/>
    </row>
    <row r="187" spans="1:18" s="3" customFormat="1" ht="13.5" customHeight="1">
      <c r="A187" s="19" t="s">
        <v>89</v>
      </c>
      <c r="B187" s="20" t="s">
        <v>14</v>
      </c>
      <c r="C187" s="19">
        <v>443956</v>
      </c>
      <c r="D187" s="19"/>
      <c r="E187" s="19">
        <v>192093</v>
      </c>
      <c r="F187" s="19"/>
      <c r="G187" s="19">
        <v>468056</v>
      </c>
      <c r="H187" s="19"/>
      <c r="I187" s="19">
        <v>101683</v>
      </c>
      <c r="J187" s="19"/>
      <c r="K187" s="19">
        <f t="shared" si="3"/>
        <v>1205788</v>
      </c>
      <c r="L187" s="19"/>
      <c r="M187" s="19">
        <v>624280</v>
      </c>
      <c r="N187" s="19"/>
      <c r="O187" s="19">
        <f>419407-1</f>
        <v>419406</v>
      </c>
      <c r="P187" s="19"/>
      <c r="Q187" s="19">
        <v>162102</v>
      </c>
      <c r="R187" s="6"/>
    </row>
    <row r="188" spans="1:18" s="3" customFormat="1" ht="13.5" customHeight="1">
      <c r="A188" s="19" t="s">
        <v>45</v>
      </c>
      <c r="B188" s="20" t="s">
        <v>14</v>
      </c>
      <c r="C188" s="19">
        <v>39462</v>
      </c>
      <c r="D188" s="19"/>
      <c r="E188" s="19">
        <v>0</v>
      </c>
      <c r="F188" s="19"/>
      <c r="G188" s="19">
        <v>27529</v>
      </c>
      <c r="H188" s="19"/>
      <c r="I188" s="19">
        <v>3705</v>
      </c>
      <c r="J188" s="19"/>
      <c r="K188" s="19">
        <f t="shared" si="3"/>
        <v>70696</v>
      </c>
      <c r="L188" s="19"/>
      <c r="M188" s="19">
        <v>60800</v>
      </c>
      <c r="N188" s="19"/>
      <c r="O188" s="19">
        <f>7354+1</f>
        <v>7355</v>
      </c>
      <c r="P188" s="19"/>
      <c r="Q188" s="19">
        <v>2541</v>
      </c>
      <c r="R188" s="6"/>
    </row>
    <row r="189" spans="1:18" s="3" customFormat="1" ht="13.5" customHeight="1">
      <c r="A189" s="19" t="s">
        <v>38</v>
      </c>
      <c r="B189" s="20" t="s">
        <v>14</v>
      </c>
      <c r="C189" s="19">
        <v>32657</v>
      </c>
      <c r="D189" s="19"/>
      <c r="E189" s="19">
        <v>0</v>
      </c>
      <c r="F189" s="19"/>
      <c r="G189" s="19">
        <v>0</v>
      </c>
      <c r="H189" s="19"/>
      <c r="I189" s="19">
        <v>0</v>
      </c>
      <c r="J189" s="19"/>
      <c r="K189" s="19">
        <f t="shared" si="3"/>
        <v>32657</v>
      </c>
      <c r="L189" s="19"/>
      <c r="M189" s="19">
        <v>6220</v>
      </c>
      <c r="N189" s="19"/>
      <c r="O189" s="19">
        <v>26437</v>
      </c>
      <c r="P189" s="19"/>
      <c r="Q189" s="19">
        <v>0</v>
      </c>
      <c r="R189" s="6"/>
    </row>
    <row r="190" spans="1:18" s="3" customFormat="1" ht="13.5" customHeight="1">
      <c r="A190" s="19" t="s">
        <v>47</v>
      </c>
      <c r="B190" s="20"/>
      <c r="C190" s="19">
        <v>44587</v>
      </c>
      <c r="D190" s="19"/>
      <c r="E190" s="19">
        <v>0</v>
      </c>
      <c r="F190" s="19"/>
      <c r="G190" s="19">
        <v>0</v>
      </c>
      <c r="H190" s="19"/>
      <c r="I190" s="19">
        <v>1000</v>
      </c>
      <c r="J190" s="19"/>
      <c r="K190" s="19">
        <f t="shared" si="3"/>
        <v>45587</v>
      </c>
      <c r="L190" s="19"/>
      <c r="M190" s="19">
        <v>45587</v>
      </c>
      <c r="N190" s="19"/>
      <c r="O190" s="19">
        <v>0</v>
      </c>
      <c r="P190" s="19"/>
      <c r="Q190" s="19">
        <v>0</v>
      </c>
      <c r="R190" s="6"/>
    </row>
    <row r="191" spans="1:18" s="3" customFormat="1" ht="13.5" customHeight="1">
      <c r="A191" s="19" t="s">
        <v>48</v>
      </c>
      <c r="B191" s="20" t="s">
        <v>14</v>
      </c>
      <c r="C191" s="19">
        <v>95686</v>
      </c>
      <c r="D191" s="19"/>
      <c r="E191" s="19">
        <v>20018</v>
      </c>
      <c r="F191" s="19"/>
      <c r="G191" s="19">
        <v>10573</v>
      </c>
      <c r="H191" s="19"/>
      <c r="I191" s="19">
        <v>4840</v>
      </c>
      <c r="J191" s="19"/>
      <c r="K191" s="19">
        <f t="shared" si="3"/>
        <v>131117</v>
      </c>
      <c r="L191" s="19"/>
      <c r="M191" s="19">
        <v>117479</v>
      </c>
      <c r="N191" s="19"/>
      <c r="O191" s="19">
        <v>7157</v>
      </c>
      <c r="P191" s="19"/>
      <c r="Q191" s="19">
        <v>6481</v>
      </c>
      <c r="R191" s="6"/>
    </row>
    <row r="192" spans="1:18" s="3" customFormat="1" ht="13.5" customHeight="1">
      <c r="A192" s="19" t="s">
        <v>49</v>
      </c>
      <c r="B192" s="20" t="s">
        <v>14</v>
      </c>
      <c r="C192" s="19">
        <v>510040</v>
      </c>
      <c r="D192" s="19"/>
      <c r="E192" s="19">
        <v>532182</v>
      </c>
      <c r="F192" s="19"/>
      <c r="G192" s="19">
        <v>209358</v>
      </c>
      <c r="H192" s="19"/>
      <c r="I192" s="19">
        <v>12259</v>
      </c>
      <c r="J192" s="19"/>
      <c r="K192" s="19">
        <f t="shared" si="3"/>
        <v>1263839</v>
      </c>
      <c r="L192" s="19"/>
      <c r="M192" s="19">
        <v>885164</v>
      </c>
      <c r="N192" s="19"/>
      <c r="O192" s="19">
        <v>148219</v>
      </c>
      <c r="P192" s="19"/>
      <c r="Q192" s="19">
        <v>230456</v>
      </c>
      <c r="R192" s="6"/>
    </row>
    <row r="193" spans="1:18" s="3" customFormat="1" ht="13.5" customHeight="1">
      <c r="A193" s="19" t="s">
        <v>90</v>
      </c>
      <c r="B193" s="20" t="s">
        <v>14</v>
      </c>
      <c r="C193" s="22">
        <v>61667</v>
      </c>
      <c r="D193" s="19"/>
      <c r="E193" s="22">
        <v>289527</v>
      </c>
      <c r="F193" s="19"/>
      <c r="G193" s="19">
        <v>53283</v>
      </c>
      <c r="H193" s="19"/>
      <c r="I193" s="22">
        <v>4125</v>
      </c>
      <c r="J193" s="19"/>
      <c r="K193" s="22">
        <f t="shared" si="3"/>
        <v>408602</v>
      </c>
      <c r="L193" s="19"/>
      <c r="M193" s="22">
        <v>201035</v>
      </c>
      <c r="N193" s="19"/>
      <c r="O193" s="22">
        <f>121933+1</f>
        <v>121934</v>
      </c>
      <c r="P193" s="19"/>
      <c r="Q193" s="22">
        <v>85633</v>
      </c>
      <c r="R193" s="6"/>
    </row>
    <row r="194" spans="1:18" s="3" customFormat="1" ht="13.5" customHeight="1">
      <c r="A194" s="19" t="s">
        <v>153</v>
      </c>
      <c r="B194" s="20" t="s">
        <v>14</v>
      </c>
      <c r="C194" s="22">
        <f>SUM(C181:C193)</f>
        <v>1445357</v>
      </c>
      <c r="D194" s="19"/>
      <c r="E194" s="22">
        <f>SUM(E181:E193)</f>
        <v>1343237</v>
      </c>
      <c r="F194" s="19"/>
      <c r="G194" s="23">
        <f>SUM(G181:G193)</f>
        <v>916014</v>
      </c>
      <c r="H194" s="19"/>
      <c r="I194" s="22">
        <f>SUM(I181:I193)</f>
        <v>164917</v>
      </c>
      <c r="J194" s="19"/>
      <c r="K194" s="23">
        <f t="shared" si="2"/>
        <v>3869525</v>
      </c>
      <c r="L194" s="19"/>
      <c r="M194" s="22">
        <f>SUM(M181:M193)</f>
        <v>2418654</v>
      </c>
      <c r="N194" s="19"/>
      <c r="O194" s="22">
        <f>SUM(O181:O193)</f>
        <v>834165</v>
      </c>
      <c r="P194" s="19"/>
      <c r="Q194" s="22">
        <f>SUM(Q181:Q193)</f>
        <v>616706</v>
      </c>
      <c r="R194" s="6"/>
    </row>
    <row r="195" spans="1:18" s="3" customFormat="1" ht="13.5" customHeight="1">
      <c r="A195" s="19"/>
      <c r="B195" s="20" t="s">
        <v>14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6"/>
    </row>
    <row r="196" spans="1:18" s="3" customFormat="1" ht="13.5" customHeight="1">
      <c r="A196" s="19" t="s">
        <v>16</v>
      </c>
      <c r="B196" s="20" t="s">
        <v>14</v>
      </c>
      <c r="C196" s="19" t="s">
        <v>14</v>
      </c>
      <c r="D196" s="19"/>
      <c r="E196" s="19" t="s">
        <v>14</v>
      </c>
      <c r="F196" s="19"/>
      <c r="G196" s="19" t="s">
        <v>14</v>
      </c>
      <c r="H196" s="19"/>
      <c r="I196" s="19" t="s">
        <v>14</v>
      </c>
      <c r="J196" s="19"/>
      <c r="K196" s="19"/>
      <c r="L196" s="19"/>
      <c r="M196" s="19" t="s">
        <v>14</v>
      </c>
      <c r="N196" s="19"/>
      <c r="O196" s="19" t="s">
        <v>14</v>
      </c>
      <c r="P196" s="19"/>
      <c r="Q196" s="19" t="s">
        <v>14</v>
      </c>
      <c r="R196" s="6"/>
    </row>
    <row r="197" spans="1:18" s="3" customFormat="1" ht="13.5" customHeight="1">
      <c r="A197" s="19" t="s">
        <v>50</v>
      </c>
      <c r="B197" s="20" t="s">
        <v>14</v>
      </c>
      <c r="C197" s="19">
        <v>469013</v>
      </c>
      <c r="D197" s="19"/>
      <c r="E197" s="19">
        <v>7833720</v>
      </c>
      <c r="F197" s="19"/>
      <c r="G197" s="19">
        <v>743389</v>
      </c>
      <c r="H197" s="19"/>
      <c r="I197" s="19">
        <v>748216</v>
      </c>
      <c r="J197" s="19"/>
      <c r="K197" s="19">
        <f t="shared" si="2"/>
        <v>9794338</v>
      </c>
      <c r="L197" s="19"/>
      <c r="M197" s="19">
        <v>3183830</v>
      </c>
      <c r="N197" s="19"/>
      <c r="O197" s="19">
        <v>4657092</v>
      </c>
      <c r="P197" s="19"/>
      <c r="Q197" s="19">
        <v>1953416</v>
      </c>
      <c r="R197" s="6"/>
    </row>
    <row r="198" spans="1:18" s="3" customFormat="1" ht="13.5" customHeight="1">
      <c r="A198" s="19" t="s">
        <v>51</v>
      </c>
      <c r="B198" s="20" t="s">
        <v>14</v>
      </c>
      <c r="C198" s="19">
        <v>109040</v>
      </c>
      <c r="D198" s="19"/>
      <c r="E198" s="19">
        <v>6235645</v>
      </c>
      <c r="F198" s="19"/>
      <c r="G198" s="19">
        <v>334633</v>
      </c>
      <c r="H198" s="19"/>
      <c r="I198" s="19">
        <v>546363</v>
      </c>
      <c r="J198" s="19"/>
      <c r="K198" s="19">
        <f t="shared" si="2"/>
        <v>7225681</v>
      </c>
      <c r="L198" s="19"/>
      <c r="M198" s="19">
        <v>2800082</v>
      </c>
      <c r="N198" s="19"/>
      <c r="O198" s="19">
        <f>2928890+1</f>
        <v>2928891</v>
      </c>
      <c r="P198" s="19"/>
      <c r="Q198" s="19">
        <v>1496708</v>
      </c>
      <c r="R198" s="6"/>
    </row>
    <row r="199" spans="1:18" s="3" customFormat="1" ht="13.5" customHeight="1">
      <c r="A199" s="19" t="s">
        <v>52</v>
      </c>
      <c r="B199" s="20" t="s">
        <v>14</v>
      </c>
      <c r="C199" s="19">
        <v>495710</v>
      </c>
      <c r="D199" s="19"/>
      <c r="E199" s="19">
        <v>569705</v>
      </c>
      <c r="F199" s="19"/>
      <c r="G199" s="19">
        <v>109059</v>
      </c>
      <c r="H199" s="19"/>
      <c r="I199" s="19">
        <v>27258</v>
      </c>
      <c r="J199" s="19"/>
      <c r="K199" s="19">
        <f t="shared" si="2"/>
        <v>1201732</v>
      </c>
      <c r="L199" s="19"/>
      <c r="M199" s="19">
        <v>774741</v>
      </c>
      <c r="N199" s="19"/>
      <c r="O199" s="19">
        <v>199703</v>
      </c>
      <c r="P199" s="19"/>
      <c r="Q199" s="19">
        <v>227288</v>
      </c>
      <c r="R199" s="6"/>
    </row>
    <row r="200" spans="1:18" s="3" customFormat="1" ht="13.5" customHeight="1">
      <c r="A200" s="19" t="s">
        <v>53</v>
      </c>
      <c r="B200" s="20" t="s">
        <v>14</v>
      </c>
      <c r="C200" s="19">
        <v>56314</v>
      </c>
      <c r="D200" s="19"/>
      <c r="E200" s="19">
        <v>431060</v>
      </c>
      <c r="F200" s="19"/>
      <c r="G200" s="19">
        <v>328134</v>
      </c>
      <c r="H200" s="19"/>
      <c r="I200" s="19">
        <v>102324</v>
      </c>
      <c r="J200" s="19"/>
      <c r="K200" s="19">
        <f t="shared" si="2"/>
        <v>917832</v>
      </c>
      <c r="L200" s="19"/>
      <c r="M200" s="19">
        <v>482360</v>
      </c>
      <c r="N200" s="19"/>
      <c r="O200" s="19">
        <f>286816-1</f>
        <v>286815</v>
      </c>
      <c r="P200" s="19"/>
      <c r="Q200" s="19">
        <v>148657</v>
      </c>
      <c r="R200" s="6"/>
    </row>
    <row r="201" spans="1:18" s="3" customFormat="1" ht="13.5" customHeight="1">
      <c r="A201" s="19" t="s">
        <v>38</v>
      </c>
      <c r="B201" s="20" t="s">
        <v>14</v>
      </c>
      <c r="C201" s="19">
        <v>0</v>
      </c>
      <c r="D201" s="19"/>
      <c r="E201" s="19">
        <v>0</v>
      </c>
      <c r="F201" s="19"/>
      <c r="G201" s="19">
        <v>10221</v>
      </c>
      <c r="H201" s="19"/>
      <c r="I201" s="19">
        <v>12632</v>
      </c>
      <c r="J201" s="19"/>
      <c r="K201" s="19">
        <f t="shared" si="2"/>
        <v>22853</v>
      </c>
      <c r="L201" s="19"/>
      <c r="M201" s="19">
        <v>8887</v>
      </c>
      <c r="N201" s="19"/>
      <c r="O201" s="19">
        <v>13966</v>
      </c>
      <c r="P201" s="19"/>
      <c r="Q201" s="19">
        <v>0</v>
      </c>
      <c r="R201" s="6"/>
    </row>
    <row r="202" spans="1:18" s="3" customFormat="1" ht="13.5" customHeight="1">
      <c r="A202" s="19" t="s">
        <v>46</v>
      </c>
      <c r="B202" s="20" t="s">
        <v>14</v>
      </c>
      <c r="C202" s="19">
        <v>23209</v>
      </c>
      <c r="D202" s="19"/>
      <c r="E202" s="19">
        <v>1473356</v>
      </c>
      <c r="F202" s="19"/>
      <c r="G202" s="19">
        <v>3790</v>
      </c>
      <c r="H202" s="19"/>
      <c r="I202" s="19">
        <v>9095</v>
      </c>
      <c r="J202" s="19"/>
      <c r="K202" s="19">
        <f>IF(SUM(C202:I202)=SUM(M202:Q202),SUM(C202:I202),SUM(M202:Q202)-SUM(C202:I202))</f>
        <v>1509450</v>
      </c>
      <c r="L202" s="19"/>
      <c r="M202" s="19">
        <v>904386</v>
      </c>
      <c r="N202" s="19"/>
      <c r="O202" s="19">
        <v>203165</v>
      </c>
      <c r="P202" s="19"/>
      <c r="Q202" s="19">
        <v>401899</v>
      </c>
      <c r="R202" s="6"/>
    </row>
    <row r="203" spans="1:18" s="3" customFormat="1" ht="13.5" customHeight="1">
      <c r="A203" s="19" t="s">
        <v>261</v>
      </c>
      <c r="B203" s="20"/>
      <c r="C203" s="19">
        <v>0</v>
      </c>
      <c r="D203" s="19"/>
      <c r="E203" s="19">
        <v>338282</v>
      </c>
      <c r="F203" s="19"/>
      <c r="G203" s="19">
        <v>150123</v>
      </c>
      <c r="H203" s="19"/>
      <c r="I203" s="19">
        <v>2765</v>
      </c>
      <c r="J203" s="19"/>
      <c r="K203" s="19">
        <f t="shared" si="2"/>
        <v>491170</v>
      </c>
      <c r="L203" s="19"/>
      <c r="M203" s="19">
        <v>142794</v>
      </c>
      <c r="N203" s="19"/>
      <c r="O203" s="19">
        <v>244673</v>
      </c>
      <c r="P203" s="19"/>
      <c r="Q203" s="19">
        <v>103703</v>
      </c>
      <c r="R203" s="6"/>
    </row>
    <row r="204" spans="1:18" s="3" customFormat="1" ht="13.5" customHeight="1">
      <c r="A204" s="19" t="s">
        <v>54</v>
      </c>
      <c r="B204" s="20" t="s">
        <v>14</v>
      </c>
      <c r="C204" s="22">
        <v>896765</v>
      </c>
      <c r="D204" s="19"/>
      <c r="E204" s="22">
        <v>5890863</v>
      </c>
      <c r="F204" s="19"/>
      <c r="G204" s="22">
        <v>1520542</v>
      </c>
      <c r="H204" s="19"/>
      <c r="I204" s="22">
        <v>503305</v>
      </c>
      <c r="J204" s="19"/>
      <c r="K204" s="22">
        <f t="shared" si="2"/>
        <v>8811475</v>
      </c>
      <c r="L204" s="19"/>
      <c r="M204" s="22">
        <v>4374674</v>
      </c>
      <c r="N204" s="19"/>
      <c r="O204" s="22">
        <f>2571046+1</f>
        <v>2571047</v>
      </c>
      <c r="P204" s="19"/>
      <c r="Q204" s="22">
        <v>1865754</v>
      </c>
      <c r="R204" s="6"/>
    </row>
    <row r="205" spans="1:18" s="3" customFormat="1" ht="13.5" customHeight="1">
      <c r="A205" s="19" t="s">
        <v>146</v>
      </c>
      <c r="B205" s="20" t="s">
        <v>14</v>
      </c>
      <c r="C205" s="22">
        <f>SUM(C197:C204)</f>
        <v>2050051</v>
      </c>
      <c r="D205" s="19"/>
      <c r="E205" s="22">
        <f>SUM(E197:E204)</f>
        <v>22772631</v>
      </c>
      <c r="F205" s="19"/>
      <c r="G205" s="22">
        <f>SUM(G197:G204)</f>
        <v>3199891</v>
      </c>
      <c r="H205" s="19"/>
      <c r="I205" s="22">
        <f>SUM(I197:I204)</f>
        <v>1951958</v>
      </c>
      <c r="J205" s="19"/>
      <c r="K205" s="23">
        <f t="shared" si="2"/>
        <v>29974531</v>
      </c>
      <c r="L205" s="19"/>
      <c r="M205" s="22">
        <f>SUM(M197:M204)</f>
        <v>12671754</v>
      </c>
      <c r="N205" s="19"/>
      <c r="O205" s="22">
        <f>SUM(O197:O204)</f>
        <v>11105352</v>
      </c>
      <c r="P205" s="19"/>
      <c r="Q205" s="22">
        <f>SUM(Q197:Q204)</f>
        <v>6197425</v>
      </c>
      <c r="R205" s="6"/>
    </row>
    <row r="206" spans="1:18" s="3" customFormat="1" ht="13.5" customHeight="1">
      <c r="A206" s="19"/>
      <c r="B206" s="20" t="s">
        <v>14</v>
      </c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6"/>
    </row>
    <row r="207" spans="1:18" s="3" customFormat="1" ht="13.5" customHeight="1">
      <c r="A207" s="19" t="s">
        <v>285</v>
      </c>
      <c r="B207" s="20" t="s">
        <v>14</v>
      </c>
      <c r="C207" s="19" t="s">
        <v>14</v>
      </c>
      <c r="D207" s="19"/>
      <c r="E207" s="19" t="s">
        <v>14</v>
      </c>
      <c r="F207" s="19"/>
      <c r="G207" s="19" t="s">
        <v>14</v>
      </c>
      <c r="H207" s="19"/>
      <c r="I207" s="19" t="s">
        <v>14</v>
      </c>
      <c r="J207" s="19"/>
      <c r="K207" s="19"/>
      <c r="L207" s="19"/>
      <c r="M207" s="19" t="s">
        <v>14</v>
      </c>
      <c r="N207" s="19"/>
      <c r="O207" s="19" t="s">
        <v>14</v>
      </c>
      <c r="P207" s="19"/>
      <c r="Q207" s="19" t="s">
        <v>14</v>
      </c>
      <c r="R207" s="6"/>
    </row>
    <row r="208" spans="1:18" s="3" customFormat="1" ht="13.5" customHeight="1">
      <c r="A208" s="19" t="s">
        <v>91</v>
      </c>
      <c r="B208" s="20" t="s">
        <v>14</v>
      </c>
      <c r="C208" s="19">
        <v>0</v>
      </c>
      <c r="D208" s="19"/>
      <c r="E208" s="19">
        <v>0</v>
      </c>
      <c r="F208" s="19"/>
      <c r="G208" s="19">
        <v>12334</v>
      </c>
      <c r="H208" s="19"/>
      <c r="I208" s="19">
        <v>6074</v>
      </c>
      <c r="J208" s="19"/>
      <c r="K208" s="19">
        <f t="shared" si="2"/>
        <v>18408</v>
      </c>
      <c r="L208" s="19"/>
      <c r="M208" s="19">
        <v>624</v>
      </c>
      <c r="N208" s="19"/>
      <c r="O208" s="19">
        <v>17784</v>
      </c>
      <c r="P208" s="19"/>
      <c r="Q208" s="19">
        <v>0</v>
      </c>
      <c r="R208" s="6"/>
    </row>
    <row r="209" spans="1:18" s="3" customFormat="1" ht="13.5" customHeight="1">
      <c r="A209" s="19" t="s">
        <v>56</v>
      </c>
      <c r="B209" s="20" t="s">
        <v>14</v>
      </c>
      <c r="C209" s="19">
        <v>793743</v>
      </c>
      <c r="D209" s="19"/>
      <c r="E209" s="19">
        <v>18816</v>
      </c>
      <c r="F209" s="19"/>
      <c r="G209" s="19">
        <v>261073</v>
      </c>
      <c r="H209" s="19"/>
      <c r="I209" s="19">
        <v>17777</v>
      </c>
      <c r="J209" s="19"/>
      <c r="K209" s="19">
        <f t="shared" si="2"/>
        <v>1091409</v>
      </c>
      <c r="L209" s="19"/>
      <c r="M209" s="19">
        <v>707766</v>
      </c>
      <c r="N209" s="19"/>
      <c r="O209" s="19">
        <v>159633</v>
      </c>
      <c r="P209" s="19"/>
      <c r="Q209" s="19">
        <v>224010</v>
      </c>
      <c r="R209" s="6"/>
    </row>
    <row r="210" spans="1:18" s="3" customFormat="1" ht="13.5" customHeight="1">
      <c r="A210" s="19" t="s">
        <v>58</v>
      </c>
      <c r="B210" s="20" t="s">
        <v>14</v>
      </c>
      <c r="C210" s="19">
        <v>0</v>
      </c>
      <c r="D210" s="19"/>
      <c r="E210" s="19">
        <v>0</v>
      </c>
      <c r="F210" s="19"/>
      <c r="G210" s="19">
        <v>16334</v>
      </c>
      <c r="H210" s="19"/>
      <c r="I210" s="19">
        <v>0</v>
      </c>
      <c r="J210" s="19"/>
      <c r="K210" s="19">
        <f t="shared" si="2"/>
        <v>16334</v>
      </c>
      <c r="L210" s="19"/>
      <c r="M210" s="19">
        <v>5125</v>
      </c>
      <c r="N210" s="19"/>
      <c r="O210" s="19">
        <f>11210-1</f>
        <v>11209</v>
      </c>
      <c r="P210" s="19"/>
      <c r="Q210" s="19">
        <v>0</v>
      </c>
      <c r="R210" s="6"/>
    </row>
    <row r="211" spans="1:18" s="3" customFormat="1" ht="13.5" customHeight="1">
      <c r="A211" s="19" t="s">
        <v>180</v>
      </c>
      <c r="B211" s="20" t="s">
        <v>14</v>
      </c>
      <c r="C211" s="19">
        <v>0</v>
      </c>
      <c r="D211" s="19"/>
      <c r="E211" s="19">
        <v>0</v>
      </c>
      <c r="F211" s="19"/>
      <c r="G211" s="19">
        <v>216523</v>
      </c>
      <c r="H211" s="19"/>
      <c r="I211" s="19">
        <v>110420</v>
      </c>
      <c r="J211" s="19"/>
      <c r="K211" s="19">
        <f t="shared" si="2"/>
        <v>326943</v>
      </c>
      <c r="L211" s="19"/>
      <c r="M211" s="19">
        <v>145290</v>
      </c>
      <c r="N211" s="19"/>
      <c r="O211" s="19">
        <v>120889</v>
      </c>
      <c r="P211" s="19"/>
      <c r="Q211" s="19">
        <v>60764</v>
      </c>
      <c r="R211" s="6"/>
    </row>
    <row r="212" spans="1:18" s="3" customFormat="1" ht="13.5" customHeight="1">
      <c r="A212" s="24" t="s">
        <v>38</v>
      </c>
      <c r="B212" s="27" t="s">
        <v>14</v>
      </c>
      <c r="C212" s="24">
        <v>0</v>
      </c>
      <c r="D212" s="24"/>
      <c r="E212" s="24">
        <v>0</v>
      </c>
      <c r="F212" s="24"/>
      <c r="G212" s="24">
        <v>145723</v>
      </c>
      <c r="H212" s="24"/>
      <c r="I212" s="24">
        <v>0</v>
      </c>
      <c r="J212" s="24"/>
      <c r="K212" s="19">
        <f t="shared" si="2"/>
        <v>145723</v>
      </c>
      <c r="L212" s="24"/>
      <c r="M212" s="24">
        <v>132069</v>
      </c>
      <c r="N212" s="24"/>
      <c r="O212" s="24">
        <v>13654</v>
      </c>
      <c r="P212" s="24"/>
      <c r="Q212" s="24">
        <v>0</v>
      </c>
      <c r="R212" s="6"/>
    </row>
    <row r="213" spans="1:18" s="3" customFormat="1" ht="13.5" customHeight="1">
      <c r="A213" s="24" t="s">
        <v>230</v>
      </c>
      <c r="B213" s="27"/>
      <c r="C213" s="24">
        <v>0</v>
      </c>
      <c r="D213" s="24"/>
      <c r="E213" s="24">
        <v>0</v>
      </c>
      <c r="F213" s="24"/>
      <c r="G213" s="24">
        <v>17303</v>
      </c>
      <c r="H213" s="24"/>
      <c r="I213" s="24">
        <v>5000</v>
      </c>
      <c r="J213" s="24"/>
      <c r="K213" s="19">
        <f t="shared" si="2"/>
        <v>22303</v>
      </c>
      <c r="L213" s="24"/>
      <c r="M213" s="24">
        <v>18400</v>
      </c>
      <c r="N213" s="24"/>
      <c r="O213" s="24">
        <v>3903</v>
      </c>
      <c r="P213" s="24"/>
      <c r="Q213" s="24">
        <v>0</v>
      </c>
      <c r="R213" s="6"/>
    </row>
    <row r="214" spans="1:18" s="3" customFormat="1" ht="13.5" customHeight="1">
      <c r="A214" s="24" t="s">
        <v>60</v>
      </c>
      <c r="B214" s="27"/>
      <c r="C214" s="24">
        <v>5050</v>
      </c>
      <c r="D214" s="24"/>
      <c r="E214" s="24">
        <v>0</v>
      </c>
      <c r="F214" s="24"/>
      <c r="G214" s="24">
        <v>0</v>
      </c>
      <c r="H214" s="24"/>
      <c r="I214" s="24">
        <v>0</v>
      </c>
      <c r="J214" s="24"/>
      <c r="K214" s="19">
        <f>IF(SUM(C214:I214)=SUM(M214:Q214),SUM(C214:I214),SUM(M214:Q214)-SUM(C214:I214))</f>
        <v>5050</v>
      </c>
      <c r="L214" s="24"/>
      <c r="M214" s="24">
        <v>0</v>
      </c>
      <c r="N214" s="24"/>
      <c r="O214" s="24">
        <v>5050</v>
      </c>
      <c r="P214" s="24"/>
      <c r="Q214" s="24">
        <v>0</v>
      </c>
      <c r="R214" s="6"/>
    </row>
    <row r="215" spans="1:18" s="3" customFormat="1" ht="13.5" customHeight="1">
      <c r="A215" s="24" t="s">
        <v>277</v>
      </c>
      <c r="B215" s="27"/>
      <c r="C215" s="24">
        <v>0</v>
      </c>
      <c r="D215" s="24"/>
      <c r="E215" s="24">
        <v>196806</v>
      </c>
      <c r="F215" s="24"/>
      <c r="G215" s="24">
        <v>43472</v>
      </c>
      <c r="H215" s="24"/>
      <c r="I215" s="24">
        <v>0</v>
      </c>
      <c r="J215" s="24"/>
      <c r="K215" s="19">
        <f>IF(SUM(C215:I215)=SUM(M215:Q215),SUM(C215:I215),SUM(M215:Q215)-SUM(C215:I215))</f>
        <v>240278</v>
      </c>
      <c r="L215" s="24"/>
      <c r="M215" s="24">
        <v>56410</v>
      </c>
      <c r="N215" s="24"/>
      <c r="O215" s="24">
        <v>133121</v>
      </c>
      <c r="P215" s="24"/>
      <c r="Q215" s="24">
        <v>50747</v>
      </c>
      <c r="R215" s="6"/>
    </row>
    <row r="216" spans="1:18" s="4" customFormat="1" ht="13.5" customHeight="1">
      <c r="A216" s="19" t="s">
        <v>311</v>
      </c>
      <c r="B216" s="20"/>
      <c r="C216" s="22">
        <v>0</v>
      </c>
      <c r="D216" s="19"/>
      <c r="E216" s="22">
        <v>156137</v>
      </c>
      <c r="F216" s="19"/>
      <c r="G216" s="22">
        <v>67988</v>
      </c>
      <c r="H216" s="19"/>
      <c r="I216" s="22">
        <v>0</v>
      </c>
      <c r="J216" s="19"/>
      <c r="K216" s="22">
        <f t="shared" si="2"/>
        <v>224125</v>
      </c>
      <c r="L216" s="19"/>
      <c r="M216" s="19">
        <v>74953</v>
      </c>
      <c r="N216" s="19"/>
      <c r="O216" s="22">
        <f>119171+1</f>
        <v>119172</v>
      </c>
      <c r="P216" s="19"/>
      <c r="Q216" s="19">
        <v>30000</v>
      </c>
      <c r="R216" s="7"/>
    </row>
    <row r="217" spans="1:18" s="4" customFormat="1" ht="13.5" customHeight="1">
      <c r="A217" s="19" t="s">
        <v>286</v>
      </c>
      <c r="B217" s="20" t="s">
        <v>14</v>
      </c>
      <c r="C217" s="22">
        <f>SUM(C208:C216)</f>
        <v>798793</v>
      </c>
      <c r="D217" s="19"/>
      <c r="E217" s="22">
        <f>SUM(E208:E216)</f>
        <v>371759</v>
      </c>
      <c r="F217" s="19"/>
      <c r="G217" s="22">
        <f>SUM(G208:G216)</f>
        <v>780750</v>
      </c>
      <c r="H217" s="19"/>
      <c r="I217" s="22">
        <f>SUM(I208:I216)</f>
        <v>139271</v>
      </c>
      <c r="J217" s="19"/>
      <c r="K217" s="23">
        <f t="shared" si="2"/>
        <v>2090573</v>
      </c>
      <c r="L217" s="19"/>
      <c r="M217" s="23">
        <f>SUM(M208:M216)</f>
        <v>1140637</v>
      </c>
      <c r="N217" s="19"/>
      <c r="O217" s="22">
        <f>SUM(O208:O216)</f>
        <v>584415</v>
      </c>
      <c r="P217" s="19"/>
      <c r="Q217" s="23">
        <f>SUM(Q208:Q216)</f>
        <v>365521</v>
      </c>
      <c r="R217" s="7"/>
    </row>
    <row r="218" spans="1:18" s="4" customFormat="1" ht="13.5" customHeight="1">
      <c r="A218" s="19"/>
      <c r="B218" s="20" t="s">
        <v>14</v>
      </c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7"/>
    </row>
    <row r="219" spans="1:18" s="3" customFormat="1" ht="13.5" customHeight="1">
      <c r="A219" s="19" t="s">
        <v>182</v>
      </c>
      <c r="B219" s="20" t="s">
        <v>14</v>
      </c>
      <c r="C219" s="22">
        <v>508776</v>
      </c>
      <c r="D219" s="19"/>
      <c r="E219" s="22">
        <v>3173</v>
      </c>
      <c r="F219" s="19"/>
      <c r="G219" s="22">
        <v>106797</v>
      </c>
      <c r="H219" s="19"/>
      <c r="I219" s="22">
        <v>948810</v>
      </c>
      <c r="J219" s="19"/>
      <c r="K219" s="22">
        <f t="shared" si="2"/>
        <v>1567556</v>
      </c>
      <c r="L219" s="19"/>
      <c r="M219" s="22">
        <v>924030</v>
      </c>
      <c r="N219" s="19"/>
      <c r="O219" s="22">
        <v>590420</v>
      </c>
      <c r="P219" s="19"/>
      <c r="Q219" s="22">
        <f>53107-1</f>
        <v>53106</v>
      </c>
      <c r="R219" s="6"/>
    </row>
    <row r="220" spans="1:18" s="3" customFormat="1" ht="13.5" customHeight="1">
      <c r="A220" s="19"/>
      <c r="B220" s="20"/>
      <c r="C220" s="24"/>
      <c r="D220" s="19"/>
      <c r="E220" s="24"/>
      <c r="F220" s="19"/>
      <c r="G220" s="24"/>
      <c r="H220" s="19"/>
      <c r="I220" s="24"/>
      <c r="J220" s="19"/>
      <c r="K220" s="19"/>
      <c r="L220" s="19"/>
      <c r="M220" s="24"/>
      <c r="N220" s="19"/>
      <c r="O220" s="24"/>
      <c r="P220" s="19"/>
      <c r="Q220" s="24"/>
      <c r="R220" s="6"/>
    </row>
    <row r="221" spans="1:18" s="3" customFormat="1" ht="13.5" customHeight="1">
      <c r="A221" s="19" t="s">
        <v>92</v>
      </c>
      <c r="B221" s="20"/>
      <c r="C221" s="22">
        <v>169983</v>
      </c>
      <c r="D221" s="19"/>
      <c r="E221" s="22">
        <v>586355</v>
      </c>
      <c r="F221" s="19"/>
      <c r="G221" s="22">
        <v>45058</v>
      </c>
      <c r="H221" s="19"/>
      <c r="I221" s="22">
        <v>29101</v>
      </c>
      <c r="J221" s="19"/>
      <c r="K221" s="22">
        <f aca="true" t="shared" si="4" ref="K221:K284">IF(SUM(C221:I221)=SUM(M221:Q221),SUM(C221:I221),SUM(M221:Q221)-SUM(C221:I221))</f>
        <v>830497</v>
      </c>
      <c r="L221" s="19"/>
      <c r="M221" s="22">
        <v>536225</v>
      </c>
      <c r="N221" s="19"/>
      <c r="O221" s="22">
        <v>71105</v>
      </c>
      <c r="P221" s="19"/>
      <c r="Q221" s="22">
        <v>223167</v>
      </c>
      <c r="R221" s="6"/>
    </row>
    <row r="222" spans="1:18" s="3" customFormat="1" ht="13.5" customHeight="1">
      <c r="A222" s="19"/>
      <c r="B222" s="20"/>
      <c r="C222" s="24"/>
      <c r="D222" s="19"/>
      <c r="E222" s="24"/>
      <c r="F222" s="19"/>
      <c r="G222" s="28"/>
      <c r="H222" s="19"/>
      <c r="I222" s="24"/>
      <c r="J222" s="19"/>
      <c r="K222" s="19"/>
      <c r="L222" s="19"/>
      <c r="M222" s="24"/>
      <c r="N222" s="19"/>
      <c r="O222" s="24"/>
      <c r="P222" s="19"/>
      <c r="Q222" s="24"/>
      <c r="R222" s="6"/>
    </row>
    <row r="223" spans="1:18" s="3" customFormat="1" ht="13.5" customHeight="1">
      <c r="A223" s="19" t="s">
        <v>288</v>
      </c>
      <c r="B223" s="20"/>
      <c r="C223" s="25">
        <v>544757</v>
      </c>
      <c r="D223" s="19"/>
      <c r="E223" s="25">
        <v>0</v>
      </c>
      <c r="F223" s="19"/>
      <c r="G223" s="25">
        <v>0</v>
      </c>
      <c r="H223" s="19"/>
      <c r="I223" s="25">
        <v>43237</v>
      </c>
      <c r="J223" s="19"/>
      <c r="K223" s="25">
        <f t="shared" si="4"/>
        <v>587994</v>
      </c>
      <c r="L223" s="19"/>
      <c r="M223" s="25">
        <v>315562</v>
      </c>
      <c r="N223" s="19"/>
      <c r="O223" s="25">
        <v>193541</v>
      </c>
      <c r="P223" s="19"/>
      <c r="Q223" s="24">
        <v>78891</v>
      </c>
      <c r="R223" s="6"/>
    </row>
    <row r="224" spans="1:18" s="3" customFormat="1" ht="13.5" customHeight="1">
      <c r="A224" s="19"/>
      <c r="B224" s="20"/>
      <c r="C224" s="24"/>
      <c r="D224" s="19"/>
      <c r="E224" s="24"/>
      <c r="F224" s="19"/>
      <c r="G224" s="24"/>
      <c r="H224" s="19"/>
      <c r="I224" s="24"/>
      <c r="J224" s="19"/>
      <c r="K224" s="19"/>
      <c r="L224" s="19"/>
      <c r="M224" s="24"/>
      <c r="N224" s="19"/>
      <c r="O224" s="24"/>
      <c r="P224" s="19"/>
      <c r="Q224" s="35"/>
      <c r="R224" s="6"/>
    </row>
    <row r="225" spans="1:18" s="3" customFormat="1" ht="13.5" customHeight="1">
      <c r="A225" s="19" t="s">
        <v>184</v>
      </c>
      <c r="B225" s="20"/>
      <c r="C225" s="22">
        <v>2911543</v>
      </c>
      <c r="D225" s="19"/>
      <c r="E225" s="22">
        <v>1641996</v>
      </c>
      <c r="F225" s="19"/>
      <c r="G225" s="22">
        <v>645293</v>
      </c>
      <c r="H225" s="19"/>
      <c r="I225" s="22">
        <v>56922</v>
      </c>
      <c r="J225" s="19"/>
      <c r="K225" s="22">
        <f t="shared" si="4"/>
        <v>5255754</v>
      </c>
      <c r="L225" s="19"/>
      <c r="M225" s="22">
        <v>2466538</v>
      </c>
      <c r="N225" s="19"/>
      <c r="O225" s="22">
        <v>2141130</v>
      </c>
      <c r="P225" s="19"/>
      <c r="Q225" s="22">
        <v>648086</v>
      </c>
      <c r="R225" s="6"/>
    </row>
    <row r="226" spans="1:18" s="3" customFormat="1" ht="13.5" customHeight="1">
      <c r="A226" s="19"/>
      <c r="B226" s="20" t="s">
        <v>14</v>
      </c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6"/>
    </row>
    <row r="227" spans="1:18" s="3" customFormat="1" ht="13.5" customHeight="1">
      <c r="A227" s="19" t="s">
        <v>188</v>
      </c>
      <c r="B227" s="20" t="s">
        <v>14</v>
      </c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6"/>
    </row>
    <row r="228" spans="1:18" s="3" customFormat="1" ht="13.5" customHeight="1">
      <c r="A228" s="19" t="s">
        <v>142</v>
      </c>
      <c r="B228" s="20" t="s">
        <v>14</v>
      </c>
      <c r="C228" s="19">
        <v>29455</v>
      </c>
      <c r="D228" s="19"/>
      <c r="E228" s="19">
        <v>0</v>
      </c>
      <c r="F228" s="19"/>
      <c r="G228" s="19">
        <v>4658</v>
      </c>
      <c r="H228" s="19"/>
      <c r="I228" s="19">
        <v>1201</v>
      </c>
      <c r="J228" s="19"/>
      <c r="K228" s="19">
        <f t="shared" si="4"/>
        <v>35314</v>
      </c>
      <c r="L228" s="19"/>
      <c r="M228" s="19">
        <v>25571</v>
      </c>
      <c r="N228" s="19"/>
      <c r="O228" s="19">
        <f>9744-1</f>
        <v>9743</v>
      </c>
      <c r="P228" s="19"/>
      <c r="Q228" s="19">
        <v>0</v>
      </c>
      <c r="R228" s="6"/>
    </row>
    <row r="229" spans="1:18" s="3" customFormat="1" ht="13.5" customHeight="1">
      <c r="A229" s="19" t="s">
        <v>154</v>
      </c>
      <c r="B229" s="20" t="s">
        <v>14</v>
      </c>
      <c r="C229" s="19">
        <v>0</v>
      </c>
      <c r="D229" s="19"/>
      <c r="E229" s="19">
        <v>485</v>
      </c>
      <c r="F229" s="19"/>
      <c r="G229" s="19">
        <v>0</v>
      </c>
      <c r="H229" s="19"/>
      <c r="I229" s="19">
        <v>0</v>
      </c>
      <c r="J229" s="19"/>
      <c r="K229" s="19">
        <f>IF(SUM(C229:I229)=SUM(M229:Q229),SUM(C229:I229),SUM(M229:Q229)-SUM(C229:I229))</f>
        <v>485</v>
      </c>
      <c r="L229" s="19"/>
      <c r="M229" s="19">
        <v>0</v>
      </c>
      <c r="N229" s="19"/>
      <c r="O229" s="19">
        <v>485</v>
      </c>
      <c r="P229" s="19"/>
      <c r="Q229" s="19">
        <v>0</v>
      </c>
      <c r="R229" s="6"/>
    </row>
    <row r="230" spans="1:18" s="3" customFormat="1" ht="13.5" customHeight="1">
      <c r="A230" s="19" t="s">
        <v>143</v>
      </c>
      <c r="B230" s="20" t="s">
        <v>14</v>
      </c>
      <c r="C230" s="19">
        <v>195</v>
      </c>
      <c r="D230" s="19"/>
      <c r="E230" s="19">
        <v>0</v>
      </c>
      <c r="F230" s="19"/>
      <c r="G230" s="19">
        <v>53234</v>
      </c>
      <c r="H230" s="19"/>
      <c r="I230" s="19">
        <v>26420</v>
      </c>
      <c r="J230" s="19"/>
      <c r="K230" s="19">
        <f>IF(SUM(C230:I230)=SUM(M230:Q230),SUM(C230:I230),SUM(M230:Q230)-SUM(C230:I230))</f>
        <v>79849</v>
      </c>
      <c r="L230" s="19"/>
      <c r="M230" s="19">
        <v>69399</v>
      </c>
      <c r="N230" s="19"/>
      <c r="O230" s="19">
        <v>10528</v>
      </c>
      <c r="P230" s="19"/>
      <c r="Q230" s="19">
        <v>-78</v>
      </c>
      <c r="R230" s="6"/>
    </row>
    <row r="231" spans="1:18" s="3" customFormat="1" ht="13.5" customHeight="1">
      <c r="A231" s="19" t="s">
        <v>278</v>
      </c>
      <c r="B231" s="20" t="s">
        <v>14</v>
      </c>
      <c r="C231" s="19">
        <v>0</v>
      </c>
      <c r="D231" s="19"/>
      <c r="E231" s="19">
        <v>821287</v>
      </c>
      <c r="F231" s="19"/>
      <c r="G231" s="19">
        <v>50070</v>
      </c>
      <c r="H231" s="19"/>
      <c r="I231" s="19">
        <v>49784</v>
      </c>
      <c r="J231" s="19"/>
      <c r="K231" s="19">
        <f t="shared" si="4"/>
        <v>921141</v>
      </c>
      <c r="L231" s="19"/>
      <c r="M231" s="19">
        <v>470859</v>
      </c>
      <c r="N231" s="19"/>
      <c r="O231" s="19">
        <v>209903</v>
      </c>
      <c r="P231" s="19"/>
      <c r="Q231" s="19">
        <v>240379</v>
      </c>
      <c r="R231" s="6"/>
    </row>
    <row r="232" spans="1:18" s="3" customFormat="1" ht="13.5" customHeight="1">
      <c r="A232" s="19" t="s">
        <v>155</v>
      </c>
      <c r="B232" s="20" t="s">
        <v>14</v>
      </c>
      <c r="C232" s="19">
        <v>0</v>
      </c>
      <c r="D232" s="19"/>
      <c r="E232" s="19">
        <v>26569</v>
      </c>
      <c r="F232" s="19"/>
      <c r="G232" s="19">
        <v>728235</v>
      </c>
      <c r="H232" s="19"/>
      <c r="I232" s="19">
        <v>57774</v>
      </c>
      <c r="J232" s="19"/>
      <c r="K232" s="19">
        <f t="shared" si="4"/>
        <v>812578</v>
      </c>
      <c r="L232" s="19"/>
      <c r="M232" s="19">
        <v>496668</v>
      </c>
      <c r="N232" s="19"/>
      <c r="O232" s="19">
        <f>314250-1</f>
        <v>314249</v>
      </c>
      <c r="P232" s="19"/>
      <c r="Q232" s="19">
        <v>1661</v>
      </c>
      <c r="R232" s="6"/>
    </row>
    <row r="233" spans="1:18" s="3" customFormat="1" ht="13.5" customHeight="1">
      <c r="A233" s="19" t="s">
        <v>156</v>
      </c>
      <c r="B233" s="20" t="s">
        <v>14</v>
      </c>
      <c r="C233" s="19">
        <v>2643621</v>
      </c>
      <c r="D233" s="19"/>
      <c r="E233" s="19">
        <v>1862845</v>
      </c>
      <c r="F233" s="19"/>
      <c r="G233" s="19">
        <v>3094333</v>
      </c>
      <c r="H233" s="19"/>
      <c r="I233" s="19">
        <v>474833</v>
      </c>
      <c r="J233" s="19"/>
      <c r="K233" s="19">
        <f t="shared" si="4"/>
        <v>8075632</v>
      </c>
      <c r="L233" s="19"/>
      <c r="M233" s="19">
        <v>4261392</v>
      </c>
      <c r="N233" s="19"/>
      <c r="O233" s="19">
        <f>2312714+1</f>
        <v>2312715</v>
      </c>
      <c r="P233" s="19"/>
      <c r="Q233" s="19">
        <v>1501525</v>
      </c>
      <c r="R233" s="6"/>
    </row>
    <row r="234" spans="1:18" s="3" customFormat="1" ht="13.5" customHeight="1">
      <c r="A234" s="19" t="s">
        <v>157</v>
      </c>
      <c r="B234" s="20" t="s">
        <v>14</v>
      </c>
      <c r="C234" s="19">
        <v>175088</v>
      </c>
      <c r="D234" s="19"/>
      <c r="E234" s="19">
        <v>0</v>
      </c>
      <c r="F234" s="19"/>
      <c r="G234" s="19">
        <v>37412</v>
      </c>
      <c r="H234" s="19"/>
      <c r="I234" s="19">
        <v>6947</v>
      </c>
      <c r="J234" s="19"/>
      <c r="K234" s="19">
        <f t="shared" si="4"/>
        <v>219447</v>
      </c>
      <c r="L234" s="19"/>
      <c r="M234" s="19">
        <v>192195</v>
      </c>
      <c r="N234" s="19"/>
      <c r="O234" s="19">
        <f>-8571+1</f>
        <v>-8570</v>
      </c>
      <c r="P234" s="19"/>
      <c r="Q234" s="19">
        <v>35822</v>
      </c>
      <c r="R234" s="6"/>
    </row>
    <row r="235" spans="1:18" s="3" customFormat="1" ht="13.5" customHeight="1">
      <c r="A235" s="19" t="s">
        <v>158</v>
      </c>
      <c r="B235" s="20" t="s">
        <v>14</v>
      </c>
      <c r="C235" s="22">
        <v>101415</v>
      </c>
      <c r="D235" s="19"/>
      <c r="E235" s="22">
        <v>0</v>
      </c>
      <c r="F235" s="19"/>
      <c r="G235" s="22">
        <v>7945</v>
      </c>
      <c r="H235" s="19"/>
      <c r="I235" s="22">
        <v>10915</v>
      </c>
      <c r="J235" s="19"/>
      <c r="K235" s="22">
        <f>IF(SUM(C235:I235)=SUM(M235:Q235),SUM(C235:I235),SUM(M235:Q235)-SUM(C235:I235))</f>
        <v>120275</v>
      </c>
      <c r="L235" s="19"/>
      <c r="M235" s="22">
        <v>91555</v>
      </c>
      <c r="N235" s="19"/>
      <c r="O235" s="22">
        <v>28720</v>
      </c>
      <c r="P235" s="19"/>
      <c r="Q235" s="22">
        <v>0</v>
      </c>
      <c r="R235" s="6"/>
    </row>
    <row r="236" spans="1:18" s="3" customFormat="1" ht="13.5" customHeight="1">
      <c r="A236" s="19" t="s">
        <v>196</v>
      </c>
      <c r="B236" s="20" t="s">
        <v>14</v>
      </c>
      <c r="C236" s="22">
        <f>SUM(C228:C235)</f>
        <v>2949774</v>
      </c>
      <c r="D236" s="19"/>
      <c r="E236" s="22">
        <f>SUM(E228:E235)</f>
        <v>2711186</v>
      </c>
      <c r="F236" s="19"/>
      <c r="G236" s="22">
        <f>SUM(G228:G235)</f>
        <v>3975887</v>
      </c>
      <c r="H236" s="19"/>
      <c r="I236" s="22">
        <f>SUM(I228:I235)</f>
        <v>627874</v>
      </c>
      <c r="J236" s="19"/>
      <c r="K236" s="23">
        <f t="shared" si="4"/>
        <v>10264721</v>
      </c>
      <c r="L236" s="19"/>
      <c r="M236" s="22">
        <f>SUM(M228:M235)</f>
        <v>5607639</v>
      </c>
      <c r="N236" s="19"/>
      <c r="O236" s="22">
        <f>SUM(O228:O235)</f>
        <v>2877773</v>
      </c>
      <c r="P236" s="19"/>
      <c r="Q236" s="22">
        <f>SUM(Q228:Q235)</f>
        <v>1779309</v>
      </c>
      <c r="R236" s="6"/>
    </row>
    <row r="237" spans="1:18" s="3" customFormat="1" ht="13.5" customHeight="1">
      <c r="A237" s="19"/>
      <c r="B237" s="20" t="s">
        <v>14</v>
      </c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6"/>
    </row>
    <row r="238" spans="1:18" s="3" customFormat="1" ht="13.5" customHeight="1">
      <c r="A238" s="19" t="s">
        <v>18</v>
      </c>
      <c r="B238" s="20" t="s">
        <v>14</v>
      </c>
      <c r="C238" s="19" t="s">
        <v>14</v>
      </c>
      <c r="D238" s="19"/>
      <c r="E238" s="19" t="s">
        <v>14</v>
      </c>
      <c r="F238" s="19"/>
      <c r="G238" s="19" t="s">
        <v>14</v>
      </c>
      <c r="H238" s="19"/>
      <c r="I238" s="19" t="s">
        <v>14</v>
      </c>
      <c r="J238" s="19"/>
      <c r="K238" s="19"/>
      <c r="L238" s="19"/>
      <c r="M238" s="19" t="s">
        <v>14</v>
      </c>
      <c r="N238" s="19"/>
      <c r="O238" s="19" t="s">
        <v>14</v>
      </c>
      <c r="P238" s="19"/>
      <c r="Q238" s="19" t="s">
        <v>14</v>
      </c>
      <c r="R238" s="6"/>
    </row>
    <row r="239" spans="1:18" s="3" customFormat="1" ht="13.5" customHeight="1">
      <c r="A239" s="19" t="s">
        <v>252</v>
      </c>
      <c r="B239" s="20" t="s">
        <v>14</v>
      </c>
      <c r="C239" s="19">
        <v>1762233</v>
      </c>
      <c r="D239" s="19"/>
      <c r="E239" s="19">
        <v>21321</v>
      </c>
      <c r="F239" s="19"/>
      <c r="G239" s="19">
        <v>0</v>
      </c>
      <c r="H239" s="19"/>
      <c r="I239" s="19">
        <v>0</v>
      </c>
      <c r="J239" s="19"/>
      <c r="K239" s="19">
        <f t="shared" si="4"/>
        <v>1783554</v>
      </c>
      <c r="L239" s="19"/>
      <c r="M239" s="19">
        <v>921346</v>
      </c>
      <c r="N239" s="19"/>
      <c r="O239" s="19">
        <v>716748</v>
      </c>
      <c r="P239" s="19"/>
      <c r="Q239" s="19">
        <v>145460</v>
      </c>
      <c r="R239" s="6"/>
    </row>
    <row r="240" spans="1:18" s="3" customFormat="1" ht="13.5" customHeight="1">
      <c r="A240" s="19" t="s">
        <v>38</v>
      </c>
      <c r="B240" s="20" t="s">
        <v>14</v>
      </c>
      <c r="C240" s="19">
        <v>5100</v>
      </c>
      <c r="D240" s="19"/>
      <c r="E240" s="19">
        <v>0</v>
      </c>
      <c r="F240" s="19"/>
      <c r="G240" s="19">
        <v>86536</v>
      </c>
      <c r="H240" s="19"/>
      <c r="I240" s="19">
        <v>152235</v>
      </c>
      <c r="J240" s="19"/>
      <c r="K240" s="19">
        <f t="shared" si="4"/>
        <v>243871</v>
      </c>
      <c r="L240" s="19"/>
      <c r="M240" s="19">
        <v>137130</v>
      </c>
      <c r="N240" s="19"/>
      <c r="O240" s="19">
        <v>106741</v>
      </c>
      <c r="P240" s="19"/>
      <c r="Q240" s="19">
        <v>0</v>
      </c>
      <c r="R240" s="6"/>
    </row>
    <row r="241" spans="1:18" s="3" customFormat="1" ht="13.5" customHeight="1">
      <c r="A241" s="19" t="s">
        <v>65</v>
      </c>
      <c r="B241" s="20" t="s">
        <v>14</v>
      </c>
      <c r="C241" s="22">
        <v>57922</v>
      </c>
      <c r="D241" s="19"/>
      <c r="E241" s="22">
        <v>0</v>
      </c>
      <c r="F241" s="19"/>
      <c r="G241" s="22">
        <v>204914</v>
      </c>
      <c r="H241" s="19"/>
      <c r="I241" s="22">
        <v>6078</v>
      </c>
      <c r="J241" s="19"/>
      <c r="K241" s="22">
        <f t="shared" si="4"/>
        <v>268914</v>
      </c>
      <c r="L241" s="19"/>
      <c r="M241" s="22">
        <v>145739</v>
      </c>
      <c r="N241" s="19"/>
      <c r="O241" s="22">
        <v>89550</v>
      </c>
      <c r="P241" s="19"/>
      <c r="Q241" s="22">
        <v>33625</v>
      </c>
      <c r="R241" s="6"/>
    </row>
    <row r="242" spans="1:18" s="3" customFormat="1" ht="13.5" customHeight="1">
      <c r="A242" s="19" t="s">
        <v>148</v>
      </c>
      <c r="B242" s="20" t="s">
        <v>14</v>
      </c>
      <c r="C242" s="22">
        <f>SUM(C239:C241)</f>
        <v>1825255</v>
      </c>
      <c r="D242" s="19"/>
      <c r="E242" s="22">
        <f>SUM(E239:E241)</f>
        <v>21321</v>
      </c>
      <c r="F242" s="19"/>
      <c r="G242" s="22">
        <f>SUM(G239:G241)</f>
        <v>291450</v>
      </c>
      <c r="H242" s="19"/>
      <c r="I242" s="22">
        <f>SUM(I239:I241)</f>
        <v>158313</v>
      </c>
      <c r="J242" s="19"/>
      <c r="K242" s="23">
        <f t="shared" si="4"/>
        <v>2296339</v>
      </c>
      <c r="L242" s="19"/>
      <c r="M242" s="22">
        <f>SUM(M239:M241)</f>
        <v>1204215</v>
      </c>
      <c r="N242" s="19"/>
      <c r="O242" s="22">
        <f>SUM(O239:O241)</f>
        <v>913039</v>
      </c>
      <c r="P242" s="19"/>
      <c r="Q242" s="22">
        <f>SUM(Q239:Q241)</f>
        <v>179085</v>
      </c>
      <c r="R242" s="6"/>
    </row>
    <row r="243" spans="1:18" s="3" customFormat="1" ht="13.5" customHeight="1">
      <c r="A243" s="19"/>
      <c r="B243" s="20" t="s">
        <v>14</v>
      </c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6"/>
    </row>
    <row r="244" spans="1:18" s="3" customFormat="1" ht="13.5" customHeight="1">
      <c r="A244" s="19" t="s">
        <v>19</v>
      </c>
      <c r="B244" s="20" t="s">
        <v>14</v>
      </c>
      <c r="C244" s="19" t="s">
        <v>14</v>
      </c>
      <c r="D244" s="19"/>
      <c r="E244" s="19" t="s">
        <v>14</v>
      </c>
      <c r="F244" s="19"/>
      <c r="G244" s="19" t="s">
        <v>14</v>
      </c>
      <c r="H244" s="19"/>
      <c r="I244" s="19" t="s">
        <v>14</v>
      </c>
      <c r="J244" s="19"/>
      <c r="K244" s="19"/>
      <c r="L244" s="19"/>
      <c r="M244" s="19" t="s">
        <v>14</v>
      </c>
      <c r="N244" s="19"/>
      <c r="O244" s="19" t="s">
        <v>14</v>
      </c>
      <c r="P244" s="19"/>
      <c r="Q244" s="19" t="s">
        <v>14</v>
      </c>
      <c r="R244" s="6"/>
    </row>
    <row r="245" spans="1:18" s="3" customFormat="1" ht="13.5" customHeight="1">
      <c r="A245" s="19" t="s">
        <v>262</v>
      </c>
      <c r="B245" s="20"/>
      <c r="C245" s="19">
        <v>447243</v>
      </c>
      <c r="D245" s="19"/>
      <c r="E245" s="19">
        <v>0</v>
      </c>
      <c r="F245" s="19"/>
      <c r="G245" s="19">
        <v>290395</v>
      </c>
      <c r="H245" s="19"/>
      <c r="I245" s="19">
        <v>15659</v>
      </c>
      <c r="J245" s="19"/>
      <c r="K245" s="19">
        <f t="shared" si="4"/>
        <v>753297</v>
      </c>
      <c r="L245" s="19"/>
      <c r="M245" s="19">
        <v>575900</v>
      </c>
      <c r="N245" s="19"/>
      <c r="O245" s="19">
        <f>31488-1</f>
        <v>31487</v>
      </c>
      <c r="P245" s="19"/>
      <c r="Q245" s="19">
        <v>145910</v>
      </c>
      <c r="R245" s="6"/>
    </row>
    <row r="246" spans="1:18" s="3" customFormat="1" ht="13.5" customHeight="1">
      <c r="A246" s="19" t="s">
        <v>94</v>
      </c>
      <c r="B246" s="20" t="s">
        <v>14</v>
      </c>
      <c r="C246" s="19">
        <v>467155</v>
      </c>
      <c r="D246" s="19"/>
      <c r="E246" s="19">
        <v>2052682</v>
      </c>
      <c r="F246" s="19"/>
      <c r="G246" s="19">
        <v>1656998</v>
      </c>
      <c r="H246" s="19"/>
      <c r="I246" s="19">
        <v>159015</v>
      </c>
      <c r="J246" s="19"/>
      <c r="K246" s="19">
        <f t="shared" si="4"/>
        <v>4335850</v>
      </c>
      <c r="L246" s="19"/>
      <c r="M246" s="19">
        <v>1811342</v>
      </c>
      <c r="N246" s="19"/>
      <c r="O246" s="19">
        <v>1828049</v>
      </c>
      <c r="P246" s="19"/>
      <c r="Q246" s="19">
        <v>696459</v>
      </c>
      <c r="R246" s="6"/>
    </row>
    <row r="247" spans="1:18" s="3" customFormat="1" ht="13.5" customHeight="1">
      <c r="A247" s="19" t="s">
        <v>67</v>
      </c>
      <c r="B247" s="20" t="s">
        <v>14</v>
      </c>
      <c r="C247" s="19">
        <v>992754</v>
      </c>
      <c r="D247" s="19"/>
      <c r="E247" s="19">
        <v>907689</v>
      </c>
      <c r="F247" s="19"/>
      <c r="G247" s="19">
        <v>585352</v>
      </c>
      <c r="H247" s="19"/>
      <c r="I247" s="19">
        <v>119112</v>
      </c>
      <c r="J247" s="19"/>
      <c r="K247" s="19">
        <f t="shared" si="4"/>
        <v>2604907</v>
      </c>
      <c r="L247" s="19"/>
      <c r="M247" s="19">
        <v>1459881</v>
      </c>
      <c r="N247" s="19"/>
      <c r="O247" s="19">
        <v>660833</v>
      </c>
      <c r="P247" s="19"/>
      <c r="Q247" s="19">
        <v>484193</v>
      </c>
      <c r="R247" s="6"/>
    </row>
    <row r="248" spans="1:18" s="3" customFormat="1" ht="13.5" customHeight="1">
      <c r="A248" s="19" t="s">
        <v>68</v>
      </c>
      <c r="B248" s="20" t="s">
        <v>14</v>
      </c>
      <c r="C248" s="19">
        <v>212479</v>
      </c>
      <c r="D248" s="19"/>
      <c r="E248" s="19">
        <v>385582</v>
      </c>
      <c r="F248" s="19"/>
      <c r="G248" s="19">
        <v>424755</v>
      </c>
      <c r="H248" s="19"/>
      <c r="I248" s="19">
        <v>130476</v>
      </c>
      <c r="J248" s="19"/>
      <c r="K248" s="19">
        <f t="shared" si="4"/>
        <v>1153292</v>
      </c>
      <c r="L248" s="19"/>
      <c r="M248" s="19">
        <v>679863</v>
      </c>
      <c r="N248" s="19"/>
      <c r="O248" s="19">
        <f>1+196844</f>
        <v>196845</v>
      </c>
      <c r="P248" s="19"/>
      <c r="Q248" s="19">
        <v>276584</v>
      </c>
      <c r="R248" s="6"/>
    </row>
    <row r="249" spans="1:18" s="3" customFormat="1" ht="13.5" customHeight="1">
      <c r="A249" s="19" t="s">
        <v>95</v>
      </c>
      <c r="B249" s="20" t="s">
        <v>14</v>
      </c>
      <c r="C249" s="19">
        <v>0</v>
      </c>
      <c r="D249" s="19"/>
      <c r="E249" s="19">
        <v>0</v>
      </c>
      <c r="F249" s="19"/>
      <c r="G249" s="19">
        <v>90606</v>
      </c>
      <c r="H249" s="19"/>
      <c r="I249" s="19">
        <v>13434</v>
      </c>
      <c r="J249" s="19"/>
      <c r="K249" s="19">
        <f t="shared" si="4"/>
        <v>104040</v>
      </c>
      <c r="L249" s="19"/>
      <c r="M249" s="19">
        <v>69176</v>
      </c>
      <c r="N249" s="19"/>
      <c r="O249" s="19">
        <v>17786</v>
      </c>
      <c r="P249" s="19"/>
      <c r="Q249" s="19">
        <v>17078</v>
      </c>
      <c r="R249" s="6"/>
    </row>
    <row r="250" spans="1:18" s="3" customFormat="1" ht="13.5" customHeight="1">
      <c r="A250" s="19" t="s">
        <v>96</v>
      </c>
      <c r="B250" s="20" t="s">
        <v>14</v>
      </c>
      <c r="C250" s="19">
        <v>101523</v>
      </c>
      <c r="D250" s="19"/>
      <c r="E250" s="19">
        <v>0</v>
      </c>
      <c r="F250" s="19"/>
      <c r="G250" s="19">
        <v>140142</v>
      </c>
      <c r="H250" s="19"/>
      <c r="I250" s="19">
        <v>8301</v>
      </c>
      <c r="J250" s="19"/>
      <c r="K250" s="19">
        <f t="shared" si="4"/>
        <v>249966</v>
      </c>
      <c r="L250" s="19"/>
      <c r="M250" s="19">
        <v>223348</v>
      </c>
      <c r="N250" s="19"/>
      <c r="O250" s="19">
        <f>1+-30985</f>
        <v>-30984</v>
      </c>
      <c r="P250" s="19"/>
      <c r="Q250" s="19">
        <v>57602</v>
      </c>
      <c r="R250" s="6"/>
    </row>
    <row r="251" spans="1:18" s="3" customFormat="1" ht="13.5" customHeight="1">
      <c r="A251" s="19" t="s">
        <v>97</v>
      </c>
      <c r="B251" s="20" t="s">
        <v>14</v>
      </c>
      <c r="C251" s="19">
        <v>23336</v>
      </c>
      <c r="D251" s="19"/>
      <c r="E251" s="19">
        <v>0</v>
      </c>
      <c r="F251" s="19"/>
      <c r="G251" s="19">
        <v>0</v>
      </c>
      <c r="H251" s="19"/>
      <c r="I251" s="19">
        <v>0</v>
      </c>
      <c r="J251" s="19"/>
      <c r="K251" s="19">
        <f>IF(SUM(C251:I251)=SUM(M251:Q251),SUM(C251:I251),SUM(M251:Q251)-SUM(C251:I251))</f>
        <v>23336</v>
      </c>
      <c r="L251" s="19"/>
      <c r="M251" s="19">
        <v>13185</v>
      </c>
      <c r="N251" s="19"/>
      <c r="O251" s="19">
        <f>1+10150</f>
        <v>10151</v>
      </c>
      <c r="P251" s="19"/>
      <c r="Q251" s="19">
        <v>0</v>
      </c>
      <c r="R251" s="6"/>
    </row>
    <row r="252" spans="1:18" s="3" customFormat="1" ht="13.5" customHeight="1">
      <c r="A252" s="19" t="s">
        <v>38</v>
      </c>
      <c r="B252" s="20" t="s">
        <v>14</v>
      </c>
      <c r="C252" s="19">
        <v>80528</v>
      </c>
      <c r="D252" s="19"/>
      <c r="E252" s="19">
        <v>792443</v>
      </c>
      <c r="F252" s="19"/>
      <c r="G252" s="19">
        <v>522427</v>
      </c>
      <c r="H252" s="19"/>
      <c r="I252" s="19">
        <v>113767</v>
      </c>
      <c r="J252" s="19"/>
      <c r="K252" s="19">
        <f t="shared" si="4"/>
        <v>1509165</v>
      </c>
      <c r="L252" s="19"/>
      <c r="M252" s="19">
        <v>814164</v>
      </c>
      <c r="N252" s="19"/>
      <c r="O252" s="19">
        <v>429035</v>
      </c>
      <c r="P252" s="19"/>
      <c r="Q252" s="19">
        <v>265966</v>
      </c>
      <c r="R252" s="6"/>
    </row>
    <row r="253" spans="1:18" s="3" customFormat="1" ht="13.5" customHeight="1">
      <c r="A253" s="19" t="s">
        <v>34</v>
      </c>
      <c r="B253" s="20" t="s">
        <v>14</v>
      </c>
      <c r="C253" s="19">
        <v>3857232</v>
      </c>
      <c r="D253" s="19"/>
      <c r="E253" s="19">
        <v>0</v>
      </c>
      <c r="F253" s="19"/>
      <c r="G253" s="19">
        <v>0</v>
      </c>
      <c r="H253" s="19"/>
      <c r="I253" s="19">
        <v>17375</v>
      </c>
      <c r="J253" s="19"/>
      <c r="K253" s="19">
        <f t="shared" si="4"/>
        <v>3874607</v>
      </c>
      <c r="L253" s="19"/>
      <c r="M253" s="19">
        <v>2786187</v>
      </c>
      <c r="N253" s="19"/>
      <c r="O253" s="19">
        <f>420763-1</f>
        <v>420762</v>
      </c>
      <c r="P253" s="19"/>
      <c r="Q253" s="19">
        <v>667658</v>
      </c>
      <c r="R253" s="6"/>
    </row>
    <row r="254" spans="1:18" s="3" customFormat="1" ht="13.5" customHeight="1">
      <c r="A254" s="19" t="s">
        <v>98</v>
      </c>
      <c r="B254" s="20" t="s">
        <v>14</v>
      </c>
      <c r="C254" s="19">
        <v>966697</v>
      </c>
      <c r="D254" s="19"/>
      <c r="E254" s="19">
        <v>511592</v>
      </c>
      <c r="F254" s="19"/>
      <c r="G254" s="19">
        <v>223777</v>
      </c>
      <c r="H254" s="19"/>
      <c r="I254" s="19">
        <v>149052</v>
      </c>
      <c r="J254" s="19"/>
      <c r="K254" s="19">
        <f t="shared" si="4"/>
        <v>1851118</v>
      </c>
      <c r="L254" s="19"/>
      <c r="M254" s="19">
        <v>1091529</v>
      </c>
      <c r="N254" s="19"/>
      <c r="O254" s="19">
        <f>1+411209</f>
        <v>411210</v>
      </c>
      <c r="P254" s="19"/>
      <c r="Q254" s="19">
        <v>348379</v>
      </c>
      <c r="R254" s="6"/>
    </row>
    <row r="255" spans="1:18" s="3" customFormat="1" ht="13.5" customHeight="1">
      <c r="A255" s="19" t="s">
        <v>70</v>
      </c>
      <c r="B255" s="20" t="s">
        <v>14</v>
      </c>
      <c r="C255" s="19">
        <v>6867</v>
      </c>
      <c r="D255" s="19"/>
      <c r="E255" s="19">
        <v>29507</v>
      </c>
      <c r="F255" s="19"/>
      <c r="G255" s="19">
        <v>757239</v>
      </c>
      <c r="H255" s="19"/>
      <c r="I255" s="19">
        <v>57531</v>
      </c>
      <c r="J255" s="19"/>
      <c r="K255" s="19">
        <f t="shared" si="4"/>
        <v>851144</v>
      </c>
      <c r="L255" s="19"/>
      <c r="M255" s="19">
        <v>456531</v>
      </c>
      <c r="N255" s="19"/>
      <c r="O255" s="19">
        <v>192475</v>
      </c>
      <c r="P255" s="19"/>
      <c r="Q255" s="19">
        <v>202138</v>
      </c>
      <c r="R255" s="6"/>
    </row>
    <row r="256" spans="1:18" s="3" customFormat="1" ht="13.5" customHeight="1">
      <c r="A256" s="19" t="s">
        <v>187</v>
      </c>
      <c r="B256" s="20"/>
      <c r="C256" s="19">
        <v>612151</v>
      </c>
      <c r="D256" s="19"/>
      <c r="E256" s="19">
        <v>277634</v>
      </c>
      <c r="F256" s="19"/>
      <c r="G256" s="19">
        <v>103401</v>
      </c>
      <c r="H256" s="19"/>
      <c r="I256" s="19">
        <v>69888</v>
      </c>
      <c r="J256" s="19"/>
      <c r="K256" s="19">
        <f t="shared" si="4"/>
        <v>1063074</v>
      </c>
      <c r="L256" s="19"/>
      <c r="M256" s="19">
        <v>462617</v>
      </c>
      <c r="N256" s="19"/>
      <c r="O256" s="19">
        <v>389839</v>
      </c>
      <c r="P256" s="19"/>
      <c r="Q256" s="19">
        <v>210618</v>
      </c>
      <c r="R256" s="6"/>
    </row>
    <row r="257" spans="1:18" s="3" customFormat="1" ht="13.5" customHeight="1">
      <c r="A257" s="19" t="s">
        <v>99</v>
      </c>
      <c r="B257" s="20" t="s">
        <v>14</v>
      </c>
      <c r="C257" s="22">
        <v>0</v>
      </c>
      <c r="D257" s="19"/>
      <c r="E257" s="22">
        <v>94813</v>
      </c>
      <c r="F257" s="19"/>
      <c r="G257" s="22">
        <v>0</v>
      </c>
      <c r="H257" s="19"/>
      <c r="I257" s="22">
        <v>1908</v>
      </c>
      <c r="J257" s="19"/>
      <c r="K257" s="22">
        <f t="shared" si="4"/>
        <v>96721</v>
      </c>
      <c r="L257" s="19"/>
      <c r="M257" s="22">
        <v>75677</v>
      </c>
      <c r="N257" s="19"/>
      <c r="O257" s="22">
        <v>21044</v>
      </c>
      <c r="P257" s="19"/>
      <c r="Q257" s="22">
        <v>0</v>
      </c>
      <c r="R257" s="6"/>
    </row>
    <row r="258" spans="1:18" s="3" customFormat="1" ht="13.5" customHeight="1">
      <c r="A258" s="19" t="s">
        <v>159</v>
      </c>
      <c r="B258" s="20" t="s">
        <v>14</v>
      </c>
      <c r="C258" s="22">
        <f>SUM(C245:C257)</f>
        <v>7767965</v>
      </c>
      <c r="D258" s="19"/>
      <c r="E258" s="22">
        <f>SUM(E245:E257)</f>
        <v>5051942</v>
      </c>
      <c r="F258" s="19"/>
      <c r="G258" s="22">
        <f>SUM(G245:G257)</f>
        <v>4795092</v>
      </c>
      <c r="H258" s="19"/>
      <c r="I258" s="22">
        <f>SUM(I245:I257)</f>
        <v>855518</v>
      </c>
      <c r="J258" s="19"/>
      <c r="K258" s="23">
        <f>SUM(K245:K257)</f>
        <v>18470517</v>
      </c>
      <c r="L258" s="19"/>
      <c r="M258" s="22">
        <f>SUM(M245:M257)</f>
        <v>10519400</v>
      </c>
      <c r="N258" s="19"/>
      <c r="O258" s="22">
        <f>SUM(O245:O257)</f>
        <v>4578532</v>
      </c>
      <c r="P258" s="19"/>
      <c r="Q258" s="22">
        <f>SUM(Q245:Q257)</f>
        <v>3372585</v>
      </c>
      <c r="R258" s="6"/>
    </row>
    <row r="259" spans="1:18" s="3" customFormat="1" ht="13.5" customHeight="1">
      <c r="A259" s="19"/>
      <c r="B259" s="20" t="s">
        <v>14</v>
      </c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6"/>
    </row>
    <row r="260" spans="1:18" s="3" customFormat="1" ht="13.5" customHeight="1">
      <c r="A260" s="19" t="s">
        <v>236</v>
      </c>
      <c r="B260" s="20"/>
      <c r="C260" s="22">
        <v>61943</v>
      </c>
      <c r="D260" s="19"/>
      <c r="E260" s="22">
        <v>0</v>
      </c>
      <c r="F260" s="19"/>
      <c r="G260" s="22">
        <v>96769</v>
      </c>
      <c r="H260" s="19"/>
      <c r="I260" s="22">
        <v>0</v>
      </c>
      <c r="J260" s="19"/>
      <c r="K260" s="22">
        <f t="shared" si="4"/>
        <v>158712</v>
      </c>
      <c r="L260" s="19"/>
      <c r="M260" s="22">
        <v>121242</v>
      </c>
      <c r="N260" s="19"/>
      <c r="O260" s="22">
        <f>10732-1</f>
        <v>10731</v>
      </c>
      <c r="P260" s="19"/>
      <c r="Q260" s="22">
        <v>26739</v>
      </c>
      <c r="R260" s="6"/>
    </row>
    <row r="261" spans="1:18" s="3" customFormat="1" ht="13.5" customHeight="1">
      <c r="A261" s="19"/>
      <c r="B261" s="20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6"/>
    </row>
    <row r="262" spans="1:18" s="3" customFormat="1" ht="13.5" customHeight="1">
      <c r="A262" s="19" t="s">
        <v>100</v>
      </c>
      <c r="B262" s="20" t="s">
        <v>14</v>
      </c>
      <c r="C262" s="22">
        <v>0</v>
      </c>
      <c r="D262" s="19"/>
      <c r="E262" s="22">
        <v>0</v>
      </c>
      <c r="F262" s="19"/>
      <c r="G262" s="22">
        <v>42928</v>
      </c>
      <c r="H262" s="19"/>
      <c r="I262" s="22">
        <v>133043</v>
      </c>
      <c r="J262" s="19"/>
      <c r="K262" s="22">
        <f t="shared" si="4"/>
        <v>175971</v>
      </c>
      <c r="L262" s="19"/>
      <c r="M262" s="22">
        <v>0</v>
      </c>
      <c r="N262" s="19"/>
      <c r="O262" s="22">
        <f>175972-1</f>
        <v>175971</v>
      </c>
      <c r="P262" s="19"/>
      <c r="Q262" s="22">
        <v>0</v>
      </c>
      <c r="R262" s="6"/>
    </row>
    <row r="263" spans="1:18" s="3" customFormat="1" ht="13.5" customHeight="1">
      <c r="A263" s="19"/>
      <c r="B263" s="20" t="s">
        <v>14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6"/>
    </row>
    <row r="264" spans="1:18" s="3" customFormat="1" ht="13.5" customHeight="1">
      <c r="A264" s="19" t="s">
        <v>210</v>
      </c>
      <c r="B264" s="20"/>
      <c r="C264" s="22">
        <v>6574</v>
      </c>
      <c r="D264" s="19"/>
      <c r="E264" s="22">
        <v>0</v>
      </c>
      <c r="F264" s="19"/>
      <c r="G264" s="22">
        <v>12076</v>
      </c>
      <c r="H264" s="19"/>
      <c r="I264" s="22">
        <v>0</v>
      </c>
      <c r="J264" s="19"/>
      <c r="K264" s="22">
        <f t="shared" si="4"/>
        <v>18650</v>
      </c>
      <c r="L264" s="19"/>
      <c r="M264" s="22">
        <v>15928</v>
      </c>
      <c r="N264" s="19"/>
      <c r="O264" s="22">
        <f>1+1369</f>
        <v>1370</v>
      </c>
      <c r="P264" s="19"/>
      <c r="Q264" s="22">
        <v>1352</v>
      </c>
      <c r="R264" s="6"/>
    </row>
    <row r="265" spans="1:18" s="3" customFormat="1" ht="13.5" customHeight="1">
      <c r="A265" s="19"/>
      <c r="B265" s="20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6"/>
    </row>
    <row r="266" spans="1:18" s="3" customFormat="1" ht="13.5" customHeight="1">
      <c r="A266" s="19" t="s">
        <v>101</v>
      </c>
      <c r="B266" s="20" t="s">
        <v>14</v>
      </c>
      <c r="C266" s="22">
        <v>108428</v>
      </c>
      <c r="D266" s="19"/>
      <c r="E266" s="22">
        <v>107587</v>
      </c>
      <c r="F266" s="19"/>
      <c r="G266" s="22">
        <v>2592</v>
      </c>
      <c r="H266" s="19"/>
      <c r="I266" s="22">
        <v>43525</v>
      </c>
      <c r="J266" s="19"/>
      <c r="K266" s="22">
        <f t="shared" si="4"/>
        <v>262132</v>
      </c>
      <c r="L266" s="19"/>
      <c r="M266" s="22">
        <v>210797</v>
      </c>
      <c r="N266" s="19"/>
      <c r="O266" s="22">
        <f>2+21300</f>
        <v>21302</v>
      </c>
      <c r="P266" s="19"/>
      <c r="Q266" s="22">
        <v>30033</v>
      </c>
      <c r="R266" s="6"/>
    </row>
    <row r="267" spans="1:18" s="3" customFormat="1" ht="13.5" customHeight="1">
      <c r="A267" s="19"/>
      <c r="B267" s="20" t="s">
        <v>14</v>
      </c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6"/>
    </row>
    <row r="268" spans="1:18" s="3" customFormat="1" ht="13.5" customHeight="1">
      <c r="A268" s="19" t="s">
        <v>245</v>
      </c>
      <c r="B268" s="20" t="s">
        <v>14</v>
      </c>
      <c r="C268" s="22">
        <v>278731</v>
      </c>
      <c r="D268" s="19"/>
      <c r="E268" s="22">
        <v>2108432</v>
      </c>
      <c r="F268" s="19"/>
      <c r="G268" s="22">
        <v>47117</v>
      </c>
      <c r="H268" s="19"/>
      <c r="I268" s="22">
        <v>97907</v>
      </c>
      <c r="J268" s="19"/>
      <c r="K268" s="22">
        <f t="shared" si="4"/>
        <v>2532187</v>
      </c>
      <c r="L268" s="19"/>
      <c r="M268" s="22">
        <v>1268017</v>
      </c>
      <c r="N268" s="19"/>
      <c r="O268" s="22">
        <v>877048</v>
      </c>
      <c r="P268" s="19"/>
      <c r="Q268" s="22">
        <v>387122</v>
      </c>
      <c r="R268" s="6"/>
    </row>
    <row r="269" spans="1:18" s="3" customFormat="1" ht="13.5" customHeight="1">
      <c r="A269" s="19"/>
      <c r="B269" s="20" t="s">
        <v>14</v>
      </c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6"/>
    </row>
    <row r="270" spans="1:18" s="3" customFormat="1" ht="13.5" customHeight="1">
      <c r="A270" s="19" t="s">
        <v>73</v>
      </c>
      <c r="B270" s="20" t="s">
        <v>14</v>
      </c>
      <c r="C270" s="22">
        <v>0</v>
      </c>
      <c r="D270" s="19"/>
      <c r="E270" s="22">
        <v>0</v>
      </c>
      <c r="F270" s="19"/>
      <c r="G270" s="22">
        <v>8399</v>
      </c>
      <c r="H270" s="19"/>
      <c r="I270" s="22">
        <v>6297</v>
      </c>
      <c r="J270" s="19"/>
      <c r="K270" s="22">
        <f t="shared" si="4"/>
        <v>14696</v>
      </c>
      <c r="L270" s="19"/>
      <c r="M270" s="22">
        <v>9550</v>
      </c>
      <c r="N270" s="19"/>
      <c r="O270" s="22">
        <v>5146</v>
      </c>
      <c r="P270" s="19"/>
      <c r="Q270" s="22">
        <v>0</v>
      </c>
      <c r="R270" s="6"/>
    </row>
    <row r="271" spans="1:18" s="3" customFormat="1" ht="13.5" customHeight="1">
      <c r="A271" s="19"/>
      <c r="B271" s="20" t="s">
        <v>14</v>
      </c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6"/>
    </row>
    <row r="272" spans="1:18" s="3" customFormat="1" ht="13.5" customHeight="1">
      <c r="A272" s="19" t="s">
        <v>102</v>
      </c>
      <c r="B272" s="20" t="s">
        <v>14</v>
      </c>
      <c r="C272" s="22">
        <v>0</v>
      </c>
      <c r="D272" s="19"/>
      <c r="E272" s="22">
        <v>0</v>
      </c>
      <c r="F272" s="19"/>
      <c r="G272" s="22">
        <v>1946</v>
      </c>
      <c r="H272" s="19"/>
      <c r="I272" s="22">
        <v>0</v>
      </c>
      <c r="J272" s="19"/>
      <c r="K272" s="22">
        <f t="shared" si="4"/>
        <v>1946</v>
      </c>
      <c r="L272" s="19"/>
      <c r="M272" s="22">
        <v>0</v>
      </c>
      <c r="N272" s="19"/>
      <c r="O272" s="22">
        <v>1946</v>
      </c>
      <c r="P272" s="19"/>
      <c r="Q272" s="22">
        <v>0</v>
      </c>
      <c r="R272" s="6"/>
    </row>
    <row r="273" spans="1:18" s="3" customFormat="1" ht="13.5" customHeight="1">
      <c r="A273" s="19"/>
      <c r="B273" s="20" t="s">
        <v>14</v>
      </c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6"/>
    </row>
    <row r="274" spans="1:18" s="3" customFormat="1" ht="13.5" customHeight="1">
      <c r="A274" s="19" t="s">
        <v>22</v>
      </c>
      <c r="B274" s="20" t="s">
        <v>14</v>
      </c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6"/>
    </row>
    <row r="275" spans="1:18" s="3" customFormat="1" ht="13.5" customHeight="1">
      <c r="A275" s="19" t="s">
        <v>251</v>
      </c>
      <c r="B275" s="20"/>
      <c r="C275" s="19">
        <v>0</v>
      </c>
      <c r="D275" s="19"/>
      <c r="E275" s="19">
        <v>0</v>
      </c>
      <c r="F275" s="19"/>
      <c r="G275" s="19">
        <v>0</v>
      </c>
      <c r="H275" s="19"/>
      <c r="I275" s="19">
        <v>2</v>
      </c>
      <c r="J275" s="19"/>
      <c r="K275" s="19">
        <f t="shared" si="4"/>
        <v>2</v>
      </c>
      <c r="L275" s="19"/>
      <c r="M275" s="19">
        <v>0</v>
      </c>
      <c r="N275" s="19"/>
      <c r="O275" s="19">
        <v>2</v>
      </c>
      <c r="P275" s="19"/>
      <c r="Q275" s="19">
        <v>0</v>
      </c>
      <c r="R275" s="6"/>
    </row>
    <row r="276" spans="1:18" s="3" customFormat="1" ht="13.5" customHeight="1">
      <c r="A276" s="19" t="s">
        <v>178</v>
      </c>
      <c r="B276" s="20" t="s">
        <v>14</v>
      </c>
      <c r="C276" s="19">
        <v>0</v>
      </c>
      <c r="D276" s="19"/>
      <c r="E276" s="19">
        <v>0</v>
      </c>
      <c r="F276" s="19"/>
      <c r="G276" s="19">
        <v>0</v>
      </c>
      <c r="H276" s="19"/>
      <c r="I276" s="19">
        <v>102921</v>
      </c>
      <c r="J276" s="19"/>
      <c r="K276" s="19">
        <f t="shared" si="4"/>
        <v>102921</v>
      </c>
      <c r="L276" s="19"/>
      <c r="M276" s="19">
        <v>0</v>
      </c>
      <c r="N276" s="19"/>
      <c r="O276" s="19">
        <v>102921</v>
      </c>
      <c r="P276" s="19"/>
      <c r="Q276" s="19">
        <v>0</v>
      </c>
      <c r="R276" s="6"/>
    </row>
    <row r="277" spans="1:18" s="3" customFormat="1" ht="13.5" customHeight="1">
      <c r="A277" s="19" t="s">
        <v>289</v>
      </c>
      <c r="B277" s="20"/>
      <c r="C277" s="22">
        <v>0</v>
      </c>
      <c r="D277" s="19"/>
      <c r="E277" s="22">
        <v>0</v>
      </c>
      <c r="F277" s="19"/>
      <c r="G277" s="22">
        <v>38032</v>
      </c>
      <c r="H277" s="19"/>
      <c r="I277" s="22">
        <v>0</v>
      </c>
      <c r="J277" s="19"/>
      <c r="K277" s="22">
        <f t="shared" si="4"/>
        <v>38032</v>
      </c>
      <c r="L277" s="19"/>
      <c r="M277" s="22">
        <v>34275</v>
      </c>
      <c r="N277" s="19"/>
      <c r="O277" s="22">
        <f>1+3756</f>
        <v>3757</v>
      </c>
      <c r="P277" s="19"/>
      <c r="Q277" s="22">
        <v>0</v>
      </c>
      <c r="R277" s="6"/>
    </row>
    <row r="278" spans="1:18" s="3" customFormat="1" ht="13.5" customHeight="1">
      <c r="A278" s="19" t="s">
        <v>171</v>
      </c>
      <c r="B278" s="20" t="s">
        <v>14</v>
      </c>
      <c r="C278" s="22">
        <f>SUM(C275:C277)</f>
        <v>0</v>
      </c>
      <c r="D278" s="24"/>
      <c r="E278" s="22">
        <f>SUM(E275:E277)</f>
        <v>0</v>
      </c>
      <c r="F278" s="24"/>
      <c r="G278" s="22">
        <f>SUM(G275:G277)</f>
        <v>38032</v>
      </c>
      <c r="H278" s="24"/>
      <c r="I278" s="22">
        <f>SUM(I275:I277)</f>
        <v>102923</v>
      </c>
      <c r="J278" s="19"/>
      <c r="K278" s="23">
        <f t="shared" si="4"/>
        <v>140955</v>
      </c>
      <c r="L278" s="19"/>
      <c r="M278" s="22">
        <f>SUM(M275:M277)</f>
        <v>34275</v>
      </c>
      <c r="N278" s="24"/>
      <c r="O278" s="22">
        <f>SUM(O275:O277)</f>
        <v>106680</v>
      </c>
      <c r="P278" s="24"/>
      <c r="Q278" s="22">
        <f>SUM(Q275:Q277)</f>
        <v>0</v>
      </c>
      <c r="R278" s="6"/>
    </row>
    <row r="279" spans="1:18" s="3" customFormat="1" ht="13.5" customHeight="1">
      <c r="A279" s="19"/>
      <c r="B279" s="20" t="s">
        <v>14</v>
      </c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6"/>
    </row>
    <row r="280" spans="1:18" s="3" customFormat="1" ht="13.5" customHeight="1">
      <c r="A280" s="19" t="s">
        <v>250</v>
      </c>
      <c r="B280" s="20" t="s">
        <v>14</v>
      </c>
      <c r="C280" s="22">
        <v>447226</v>
      </c>
      <c r="D280" s="19"/>
      <c r="E280" s="22">
        <v>0</v>
      </c>
      <c r="F280" s="19"/>
      <c r="G280" s="22">
        <v>69769</v>
      </c>
      <c r="H280" s="19"/>
      <c r="I280" s="22">
        <v>15410</v>
      </c>
      <c r="J280" s="19"/>
      <c r="K280" s="22">
        <f t="shared" si="4"/>
        <v>532405</v>
      </c>
      <c r="L280" s="19"/>
      <c r="M280" s="22">
        <v>413050</v>
      </c>
      <c r="N280" s="19"/>
      <c r="O280" s="22">
        <v>23961</v>
      </c>
      <c r="P280" s="19"/>
      <c r="Q280" s="22">
        <v>95394</v>
      </c>
      <c r="R280" s="6"/>
    </row>
    <row r="281" spans="1:18" s="3" customFormat="1" ht="13.5" customHeight="1">
      <c r="A281" s="19"/>
      <c r="B281" s="20" t="s">
        <v>14</v>
      </c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6"/>
    </row>
    <row r="282" spans="1:18" s="3" customFormat="1" ht="13.5" customHeight="1">
      <c r="A282" s="19" t="s">
        <v>23</v>
      </c>
      <c r="B282" s="20" t="s">
        <v>14</v>
      </c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 t="s">
        <v>15</v>
      </c>
      <c r="N282" s="19"/>
      <c r="O282" s="19" t="s">
        <v>15</v>
      </c>
      <c r="P282" s="19"/>
      <c r="Q282" s="19" t="s">
        <v>15</v>
      </c>
      <c r="R282" s="6"/>
    </row>
    <row r="283" spans="1:18" s="3" customFormat="1" ht="13.5" customHeight="1">
      <c r="A283" s="19" t="s">
        <v>238</v>
      </c>
      <c r="B283" s="20"/>
      <c r="C283" s="19">
        <v>0</v>
      </c>
      <c r="D283" s="19"/>
      <c r="E283" s="19">
        <v>0</v>
      </c>
      <c r="F283" s="19"/>
      <c r="G283" s="19">
        <v>0</v>
      </c>
      <c r="H283" s="19"/>
      <c r="I283" s="19">
        <v>18281</v>
      </c>
      <c r="J283" s="19"/>
      <c r="K283" s="19">
        <f t="shared" si="4"/>
        <v>18281</v>
      </c>
      <c r="L283" s="19"/>
      <c r="M283" s="19">
        <v>6700</v>
      </c>
      <c r="N283" s="19"/>
      <c r="O283" s="19">
        <v>11581</v>
      </c>
      <c r="P283" s="19"/>
      <c r="Q283" s="19">
        <v>0</v>
      </c>
      <c r="R283" s="6"/>
    </row>
    <row r="284" spans="1:18" s="3" customFormat="1" ht="13.5" customHeight="1">
      <c r="A284" s="19" t="s">
        <v>80</v>
      </c>
      <c r="B284" s="20" t="s">
        <v>14</v>
      </c>
      <c r="C284" s="19">
        <v>137515</v>
      </c>
      <c r="D284" s="19"/>
      <c r="E284" s="19">
        <v>67767</v>
      </c>
      <c r="F284" s="19"/>
      <c r="G284" s="19">
        <v>164589</v>
      </c>
      <c r="H284" s="19"/>
      <c r="I284" s="19">
        <v>7359</v>
      </c>
      <c r="J284" s="19"/>
      <c r="K284" s="19">
        <f t="shared" si="4"/>
        <v>377230</v>
      </c>
      <c r="L284" s="19"/>
      <c r="M284" s="19">
        <v>137339</v>
      </c>
      <c r="N284" s="19"/>
      <c r="O284" s="19">
        <v>183152</v>
      </c>
      <c r="P284" s="19"/>
      <c r="Q284" s="19">
        <v>56739</v>
      </c>
      <c r="R284" s="6"/>
    </row>
    <row r="285" spans="1:18" s="3" customFormat="1" ht="13.5" customHeight="1">
      <c r="A285" s="19" t="s">
        <v>103</v>
      </c>
      <c r="B285" s="20" t="s">
        <v>14</v>
      </c>
      <c r="C285" s="19">
        <v>0</v>
      </c>
      <c r="D285" s="19"/>
      <c r="E285" s="19">
        <v>2268966</v>
      </c>
      <c r="F285" s="19"/>
      <c r="G285" s="19">
        <v>262577</v>
      </c>
      <c r="H285" s="19"/>
      <c r="I285" s="19">
        <v>107218</v>
      </c>
      <c r="J285" s="19"/>
      <c r="K285" s="19">
        <f aca="true" t="shared" si="5" ref="K285:K349">IF(SUM(C285:I285)=SUM(M285:Q285),SUM(C285:I285),SUM(M285:Q285)-SUM(C285:I285))</f>
        <v>2638761</v>
      </c>
      <c r="L285" s="19"/>
      <c r="M285" s="19">
        <v>1166388</v>
      </c>
      <c r="N285" s="19"/>
      <c r="O285" s="19">
        <v>768977</v>
      </c>
      <c r="P285" s="19"/>
      <c r="Q285" s="19">
        <v>703396</v>
      </c>
      <c r="R285" s="6"/>
    </row>
    <row r="286" spans="1:18" s="3" customFormat="1" ht="13.5" customHeight="1">
      <c r="A286" s="19" t="s">
        <v>104</v>
      </c>
      <c r="B286" s="20" t="s">
        <v>14</v>
      </c>
      <c r="C286" s="19">
        <v>0</v>
      </c>
      <c r="D286" s="19"/>
      <c r="E286" s="19">
        <v>0</v>
      </c>
      <c r="F286" s="19"/>
      <c r="G286" s="19">
        <v>2786</v>
      </c>
      <c r="H286" s="19"/>
      <c r="I286" s="19">
        <v>0</v>
      </c>
      <c r="J286" s="19"/>
      <c r="K286" s="19">
        <f t="shared" si="5"/>
        <v>2786</v>
      </c>
      <c r="L286" s="19"/>
      <c r="M286" s="19">
        <v>0</v>
      </c>
      <c r="N286" s="19"/>
      <c r="O286" s="19">
        <v>2786</v>
      </c>
      <c r="P286" s="19"/>
      <c r="Q286" s="19">
        <v>0</v>
      </c>
      <c r="R286" s="6"/>
    </row>
    <row r="287" spans="1:23" s="3" customFormat="1" ht="13.5" customHeight="1">
      <c r="A287" s="19" t="s">
        <v>38</v>
      </c>
      <c r="B287" s="20" t="s">
        <v>14</v>
      </c>
      <c r="C287" s="19">
        <v>0</v>
      </c>
      <c r="D287" s="19"/>
      <c r="E287" s="19">
        <v>0</v>
      </c>
      <c r="F287" s="19"/>
      <c r="G287" s="19">
        <v>0</v>
      </c>
      <c r="H287" s="19"/>
      <c r="I287" s="19">
        <v>6302</v>
      </c>
      <c r="J287" s="19"/>
      <c r="K287" s="19">
        <f>IF(SUM(C287:I287)=SUM(M287:Q287),SUM(C287:I287),SUM(M287:Q287)-SUM(C287:I287))</f>
        <v>6302</v>
      </c>
      <c r="L287" s="19"/>
      <c r="M287" s="19">
        <v>0</v>
      </c>
      <c r="N287" s="19"/>
      <c r="O287" s="19">
        <v>6302</v>
      </c>
      <c r="P287" s="19"/>
      <c r="Q287" s="19">
        <v>0</v>
      </c>
      <c r="R287" s="6" t="s">
        <v>15</v>
      </c>
      <c r="T287" s="3" t="s">
        <v>15</v>
      </c>
      <c r="U287" s="3" t="s">
        <v>15</v>
      </c>
      <c r="V287" s="3" t="s">
        <v>15</v>
      </c>
      <c r="W287" s="3" t="s">
        <v>15</v>
      </c>
    </row>
    <row r="288" spans="1:18" s="3" customFormat="1" ht="13.5" customHeight="1">
      <c r="A288" s="19" t="s">
        <v>214</v>
      </c>
      <c r="B288" s="20" t="s">
        <v>14</v>
      </c>
      <c r="C288" s="19">
        <v>0</v>
      </c>
      <c r="D288" s="19"/>
      <c r="E288" s="19">
        <v>128833</v>
      </c>
      <c r="F288" s="19"/>
      <c r="G288" s="19">
        <v>560</v>
      </c>
      <c r="H288" s="19"/>
      <c r="I288" s="19">
        <v>0</v>
      </c>
      <c r="J288" s="19"/>
      <c r="K288" s="19">
        <f>IF(SUM(C288:I288)=SUM(M288:Q288),SUM(C288:I288),SUM(M288:Q288)-SUM(C288:I288))</f>
        <v>129393</v>
      </c>
      <c r="L288" s="19"/>
      <c r="M288" s="19">
        <v>0</v>
      </c>
      <c r="N288" s="19"/>
      <c r="O288" s="19">
        <v>129393</v>
      </c>
      <c r="P288" s="19"/>
      <c r="Q288" s="19">
        <v>0</v>
      </c>
      <c r="R288" s="6"/>
    </row>
    <row r="289" spans="1:18" s="3" customFormat="1" ht="13.5" customHeight="1">
      <c r="A289" s="19" t="s">
        <v>106</v>
      </c>
      <c r="B289" s="20" t="s">
        <v>14</v>
      </c>
      <c r="C289" s="24">
        <v>64809</v>
      </c>
      <c r="D289" s="19"/>
      <c r="E289" s="19">
        <v>4306785</v>
      </c>
      <c r="F289" s="19"/>
      <c r="G289" s="19">
        <v>519319</v>
      </c>
      <c r="H289" s="19"/>
      <c r="I289" s="19">
        <v>92304</v>
      </c>
      <c r="J289" s="19"/>
      <c r="K289" s="24">
        <f t="shared" si="5"/>
        <v>4983217</v>
      </c>
      <c r="L289" s="19"/>
      <c r="M289" s="19">
        <v>1755312</v>
      </c>
      <c r="N289" s="19"/>
      <c r="O289" s="19">
        <f>1+2245608</f>
        <v>2245609</v>
      </c>
      <c r="P289" s="19"/>
      <c r="Q289" s="19">
        <v>982296</v>
      </c>
      <c r="R289" s="6"/>
    </row>
    <row r="290" spans="1:18" s="3" customFormat="1" ht="13.5" customHeight="1">
      <c r="A290" s="19" t="s">
        <v>279</v>
      </c>
      <c r="B290" s="20"/>
      <c r="C290" s="24">
        <v>0</v>
      </c>
      <c r="D290" s="19"/>
      <c r="E290" s="19">
        <v>0</v>
      </c>
      <c r="F290" s="19"/>
      <c r="G290" s="19">
        <v>0</v>
      </c>
      <c r="H290" s="19"/>
      <c r="I290" s="19">
        <v>124</v>
      </c>
      <c r="J290" s="19"/>
      <c r="K290" s="22">
        <f t="shared" si="5"/>
        <v>124</v>
      </c>
      <c r="L290" s="19"/>
      <c r="M290" s="19">
        <v>0</v>
      </c>
      <c r="N290" s="19"/>
      <c r="O290" s="19">
        <v>124</v>
      </c>
      <c r="P290" s="19"/>
      <c r="Q290" s="19">
        <v>0</v>
      </c>
      <c r="R290" s="6"/>
    </row>
    <row r="291" spans="1:18" s="3" customFormat="1" ht="13.5" customHeight="1">
      <c r="A291" s="19" t="s">
        <v>151</v>
      </c>
      <c r="B291" s="20" t="s">
        <v>14</v>
      </c>
      <c r="C291" s="23">
        <f>SUM(C283:C290)</f>
        <v>202324</v>
      </c>
      <c r="D291" s="19"/>
      <c r="E291" s="23">
        <f>SUM(E283:E290)</f>
        <v>6772351</v>
      </c>
      <c r="F291" s="19"/>
      <c r="G291" s="23">
        <f>SUM(G283:G290)</f>
        <v>949831</v>
      </c>
      <c r="H291" s="19"/>
      <c r="I291" s="23">
        <f>SUM(I283:I290)</f>
        <v>231588</v>
      </c>
      <c r="J291" s="19"/>
      <c r="K291" s="23">
        <f t="shared" si="5"/>
        <v>8156094</v>
      </c>
      <c r="L291" s="19"/>
      <c r="M291" s="23">
        <f>SUM(M283:M290)</f>
        <v>3065739</v>
      </c>
      <c r="N291" s="19"/>
      <c r="O291" s="23">
        <f>SUM(O283:O290)</f>
        <v>3347924</v>
      </c>
      <c r="P291" s="19"/>
      <c r="Q291" s="23">
        <f>SUM(Q283:Q290)</f>
        <v>1742431</v>
      </c>
      <c r="R291" s="6"/>
    </row>
    <row r="292" spans="1:18" s="3" customFormat="1" ht="13.5" customHeight="1">
      <c r="A292" s="19"/>
      <c r="B292" s="20" t="s">
        <v>14</v>
      </c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6"/>
    </row>
    <row r="293" spans="1:18" s="3" customFormat="1" ht="13.5" customHeight="1">
      <c r="A293" s="19" t="s">
        <v>231</v>
      </c>
      <c r="B293" s="20"/>
      <c r="C293" s="22">
        <v>144972</v>
      </c>
      <c r="D293" s="19"/>
      <c r="E293" s="22">
        <v>0</v>
      </c>
      <c r="F293" s="19"/>
      <c r="G293" s="22">
        <v>0</v>
      </c>
      <c r="H293" s="19"/>
      <c r="I293" s="22">
        <v>0</v>
      </c>
      <c r="J293" s="19"/>
      <c r="K293" s="22">
        <f t="shared" si="5"/>
        <v>144972</v>
      </c>
      <c r="L293" s="19"/>
      <c r="M293" s="22">
        <v>62729</v>
      </c>
      <c r="N293" s="19"/>
      <c r="O293" s="22">
        <f>80197-1</f>
        <v>80196</v>
      </c>
      <c r="P293" s="19"/>
      <c r="Q293" s="22">
        <v>2047</v>
      </c>
      <c r="R293" s="6"/>
    </row>
    <row r="294" spans="1:18" s="3" customFormat="1" ht="13.5" customHeight="1">
      <c r="A294" s="19"/>
      <c r="B294" s="20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6"/>
    </row>
    <row r="295" spans="1:18" s="3" customFormat="1" ht="13.5" customHeight="1">
      <c r="A295" s="19" t="s">
        <v>160</v>
      </c>
      <c r="B295" s="20" t="s">
        <v>14</v>
      </c>
      <c r="C295" s="22">
        <f>SUM(C223,C293,C291,C280,C278,C272,C270,C268,C266,C264,C262,C260,C258,C242,C236,C225,C221,C219,C217,C205,C194,C178,C172,)</f>
        <v>22315371</v>
      </c>
      <c r="D295" s="24"/>
      <c r="E295" s="22">
        <f>SUM(E223,E293,E291,E280,E278,E272,E270,E268,E266,E264,E262,E260,E258,E242,E236,E225,E221,E219,E217,E205,E194,E178,E172,)</f>
        <v>43695515</v>
      </c>
      <c r="F295" s="24"/>
      <c r="G295" s="22">
        <f>SUM(G223,G293,G291,G280,G278,G272,G270,G268,G266,G264,G262,G260,G258,G242,G236,G225,G221,G219,G217,G205,G194,G178,G172,)</f>
        <v>16224019</v>
      </c>
      <c r="H295" s="24"/>
      <c r="I295" s="22">
        <f>SUM(I223,I293,I291,I280,I278,I272,I270,I268,I266,I264,I262,I260,I258,I242,I236,I225,I221,I219,I217,I205,I194,I178,I172,)</f>
        <v>5673056</v>
      </c>
      <c r="J295" s="24"/>
      <c r="K295" s="22">
        <f>SUM(K223,K293,K291,K280,K278,K272,K270,K268,K266,K264,K262,K260,K258,K242,K236,K225,K221,K219,K217,K205,K194,K178,K172,)</f>
        <v>87907961</v>
      </c>
      <c r="L295" s="24"/>
      <c r="M295" s="22">
        <f>SUM(M223,M293,M291,M280,M278,M272,M270,M268,M266,M264,M262,M260,M258,M242,M236,M225,M221,M219,M217,M205,M194,M178,M172,)</f>
        <v>43309500</v>
      </c>
      <c r="N295" s="24"/>
      <c r="O295" s="22">
        <f>SUM(O223,O293,O291,O280,O278,O272,O270,O268,O266,O264,O262,O260,O258,O242,O236,O225,O221,O219,O217,O205,O194,O178,O172,)</f>
        <v>28755411</v>
      </c>
      <c r="P295" s="24"/>
      <c r="Q295" s="22">
        <f>SUM(Q223,Q293,Q291,Q280,Q278,Q272,Q270,Q268,Q266,Q264,Q262,Q260,Q258,Q242,Q236,Q225,Q221,Q219,Q217,Q205,Q194,Q178,Q172,)</f>
        <v>15843050</v>
      </c>
      <c r="R295" s="6"/>
    </row>
    <row r="296" spans="1:18" s="3" customFormat="1" ht="13.5" customHeight="1">
      <c r="A296" s="19"/>
      <c r="B296" s="20" t="s">
        <v>14</v>
      </c>
      <c r="C296" s="19"/>
      <c r="D296" s="19"/>
      <c r="E296" s="19"/>
      <c r="F296" s="19"/>
      <c r="G296" s="19"/>
      <c r="H296" s="19"/>
      <c r="I296" s="19"/>
      <c r="J296" s="24"/>
      <c r="K296" s="19"/>
      <c r="L296" s="19"/>
      <c r="M296" s="19"/>
      <c r="N296" s="19"/>
      <c r="O296" s="19"/>
      <c r="P296" s="19"/>
      <c r="Q296" s="19"/>
      <c r="R296" s="6"/>
    </row>
    <row r="297" spans="1:18" s="3" customFormat="1" ht="13.5" customHeight="1">
      <c r="A297" s="19" t="s">
        <v>197</v>
      </c>
      <c r="B297" s="20" t="s">
        <v>14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6"/>
    </row>
    <row r="298" spans="1:18" s="3" customFormat="1" ht="13.5" customHeight="1">
      <c r="A298" s="19" t="s">
        <v>290</v>
      </c>
      <c r="B298" s="20" t="s">
        <v>14</v>
      </c>
      <c r="C298" s="22">
        <v>125816</v>
      </c>
      <c r="D298" s="19"/>
      <c r="E298" s="22">
        <v>0</v>
      </c>
      <c r="F298" s="19"/>
      <c r="G298" s="22">
        <v>0</v>
      </c>
      <c r="H298" s="19"/>
      <c r="I298" s="22">
        <v>0</v>
      </c>
      <c r="J298" s="19"/>
      <c r="K298" s="22">
        <f t="shared" si="5"/>
        <v>125816</v>
      </c>
      <c r="L298" s="19"/>
      <c r="M298" s="22">
        <v>52723</v>
      </c>
      <c r="N298" s="19"/>
      <c r="O298" s="22">
        <v>59399</v>
      </c>
      <c r="P298" s="19"/>
      <c r="Q298" s="22">
        <v>13694</v>
      </c>
      <c r="R298" s="6"/>
    </row>
    <row r="299" spans="1:18" s="3" customFormat="1" ht="13.5" customHeight="1">
      <c r="A299" s="19"/>
      <c r="B299" s="20" t="s">
        <v>14</v>
      </c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6"/>
    </row>
    <row r="300" spans="1:18" s="3" customFormat="1" ht="13.5" customHeight="1">
      <c r="A300" s="24" t="s">
        <v>12</v>
      </c>
      <c r="B300" s="27" t="s">
        <v>14</v>
      </c>
      <c r="C300" s="24"/>
      <c r="D300" s="24"/>
      <c r="E300" s="24"/>
      <c r="F300" s="24"/>
      <c r="G300" s="24"/>
      <c r="H300" s="24"/>
      <c r="I300" s="24"/>
      <c r="J300" s="24"/>
      <c r="K300" s="19"/>
      <c r="L300" s="24"/>
      <c r="M300" s="24"/>
      <c r="N300" s="24"/>
      <c r="O300" s="24"/>
      <c r="P300" s="24"/>
      <c r="Q300" s="24"/>
      <c r="R300" s="6" t="s">
        <v>15</v>
      </c>
    </row>
    <row r="301" spans="1:18" s="3" customFormat="1" ht="13.5" customHeight="1">
      <c r="A301" s="24" t="s">
        <v>37</v>
      </c>
      <c r="B301" s="27"/>
      <c r="C301" s="24">
        <v>0</v>
      </c>
      <c r="D301" s="24"/>
      <c r="E301" s="24">
        <v>0</v>
      </c>
      <c r="F301" s="24"/>
      <c r="G301" s="24">
        <v>32219</v>
      </c>
      <c r="H301" s="24"/>
      <c r="I301" s="24">
        <v>0</v>
      </c>
      <c r="J301" s="24"/>
      <c r="K301" s="19">
        <f t="shared" si="5"/>
        <v>32219</v>
      </c>
      <c r="L301" s="24"/>
      <c r="M301" s="24">
        <v>29869</v>
      </c>
      <c r="N301" s="24"/>
      <c r="O301" s="24">
        <v>2350</v>
      </c>
      <c r="P301" s="24"/>
      <c r="Q301" s="24">
        <v>0</v>
      </c>
      <c r="R301" s="6"/>
    </row>
    <row r="302" spans="1:18" s="4" customFormat="1" ht="13.5" customHeight="1">
      <c r="A302" s="19" t="s">
        <v>235</v>
      </c>
      <c r="B302" s="20" t="s">
        <v>14</v>
      </c>
      <c r="C302" s="24">
        <v>526</v>
      </c>
      <c r="D302" s="19"/>
      <c r="E302" s="24">
        <v>0</v>
      </c>
      <c r="F302" s="19"/>
      <c r="G302" s="24">
        <v>1800</v>
      </c>
      <c r="H302" s="19"/>
      <c r="I302" s="24">
        <v>0</v>
      </c>
      <c r="J302" s="19"/>
      <c r="K302" s="22">
        <f t="shared" si="5"/>
        <v>2326</v>
      </c>
      <c r="L302" s="19"/>
      <c r="M302" s="24">
        <v>1800</v>
      </c>
      <c r="N302" s="19"/>
      <c r="O302" s="24">
        <v>526</v>
      </c>
      <c r="P302" s="19"/>
      <c r="Q302" s="24">
        <v>0</v>
      </c>
      <c r="R302" s="7"/>
    </row>
    <row r="303" spans="1:18" s="4" customFormat="1" ht="13.5" customHeight="1">
      <c r="A303" s="19" t="s">
        <v>218</v>
      </c>
      <c r="B303" s="20"/>
      <c r="C303" s="23">
        <f>SUM(C301:C302)</f>
        <v>526</v>
      </c>
      <c r="D303" s="19"/>
      <c r="E303" s="23">
        <f>SUM(E301:E302)</f>
        <v>0</v>
      </c>
      <c r="F303" s="19"/>
      <c r="G303" s="23">
        <f>SUM(G301:G302)</f>
        <v>34019</v>
      </c>
      <c r="H303" s="19"/>
      <c r="I303" s="23">
        <f>SUM(I301:I302)</f>
        <v>0</v>
      </c>
      <c r="J303" s="19"/>
      <c r="K303" s="23">
        <f t="shared" si="5"/>
        <v>34545</v>
      </c>
      <c r="L303" s="19"/>
      <c r="M303" s="23">
        <f>SUM(M301:M302)</f>
        <v>31669</v>
      </c>
      <c r="N303" s="19"/>
      <c r="O303" s="23">
        <f>SUM(O301:O302)</f>
        <v>2876</v>
      </c>
      <c r="P303" s="19"/>
      <c r="Q303" s="23">
        <f>SUM(Q301:Q302)</f>
        <v>0</v>
      </c>
      <c r="R303" s="7"/>
    </row>
    <row r="304" spans="1:18" s="4" customFormat="1" ht="13.5" customHeight="1">
      <c r="A304" s="19"/>
      <c r="B304" s="20"/>
      <c r="C304" s="24"/>
      <c r="D304" s="19"/>
      <c r="E304" s="24"/>
      <c r="F304" s="19"/>
      <c r="G304" s="24"/>
      <c r="H304" s="19"/>
      <c r="I304" s="24"/>
      <c r="J304" s="19"/>
      <c r="K304" s="19"/>
      <c r="L304" s="19"/>
      <c r="M304" s="24"/>
      <c r="N304" s="19"/>
      <c r="O304" s="24"/>
      <c r="P304" s="19"/>
      <c r="Q304" s="24"/>
      <c r="R304" s="7"/>
    </row>
    <row r="305" spans="1:18" s="4" customFormat="1" ht="13.5" customHeight="1">
      <c r="A305" s="19" t="s">
        <v>198</v>
      </c>
      <c r="B305" s="20" t="s">
        <v>14</v>
      </c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7"/>
    </row>
    <row r="306" spans="1:18" s="4" customFormat="1" ht="13.5" customHeight="1">
      <c r="A306" s="19" t="s">
        <v>246</v>
      </c>
      <c r="B306" s="20" t="s">
        <v>14</v>
      </c>
      <c r="C306" s="19">
        <v>-23</v>
      </c>
      <c r="D306" s="19"/>
      <c r="E306" s="19">
        <v>7194</v>
      </c>
      <c r="F306" s="19"/>
      <c r="G306" s="19">
        <v>18437</v>
      </c>
      <c r="H306" s="19"/>
      <c r="I306" s="19">
        <v>0</v>
      </c>
      <c r="J306" s="19"/>
      <c r="K306" s="19">
        <f t="shared" si="5"/>
        <v>25608</v>
      </c>
      <c r="L306" s="19"/>
      <c r="M306" s="19">
        <v>21785</v>
      </c>
      <c r="N306" s="19"/>
      <c r="O306" s="19">
        <v>1788</v>
      </c>
      <c r="P306" s="19"/>
      <c r="Q306" s="19">
        <v>2035</v>
      </c>
      <c r="R306" s="7"/>
    </row>
    <row r="307" spans="1:18" s="3" customFormat="1" ht="13.5" customHeight="1">
      <c r="A307" s="19" t="s">
        <v>64</v>
      </c>
      <c r="B307" s="20" t="s">
        <v>14</v>
      </c>
      <c r="C307" s="22">
        <v>0</v>
      </c>
      <c r="D307" s="19"/>
      <c r="E307" s="22">
        <v>0</v>
      </c>
      <c r="F307" s="19"/>
      <c r="G307" s="22">
        <v>2375</v>
      </c>
      <c r="H307" s="19"/>
      <c r="I307" s="22">
        <v>0</v>
      </c>
      <c r="J307" s="19"/>
      <c r="K307" s="22">
        <f t="shared" si="5"/>
        <v>2375</v>
      </c>
      <c r="L307" s="19"/>
      <c r="M307" s="22">
        <v>2000</v>
      </c>
      <c r="N307" s="19"/>
      <c r="O307" s="22">
        <v>375</v>
      </c>
      <c r="P307" s="19"/>
      <c r="Q307" s="22">
        <v>0</v>
      </c>
      <c r="R307" s="6"/>
    </row>
    <row r="308" spans="1:18" s="3" customFormat="1" ht="13.5" customHeight="1">
      <c r="A308" s="19" t="s">
        <v>217</v>
      </c>
      <c r="B308" s="20" t="s">
        <v>14</v>
      </c>
      <c r="C308" s="22">
        <f>SUM(C306:C307)</f>
        <v>-23</v>
      </c>
      <c r="D308" s="19"/>
      <c r="E308" s="22">
        <f>SUM(E306:E307)</f>
        <v>7194</v>
      </c>
      <c r="F308" s="19"/>
      <c r="G308" s="22">
        <f>SUM(G306:G307)</f>
        <v>20812</v>
      </c>
      <c r="H308" s="19"/>
      <c r="I308" s="22">
        <f>SUM(I306:I307)</f>
        <v>0</v>
      </c>
      <c r="J308" s="19"/>
      <c r="K308" s="23">
        <f t="shared" si="5"/>
        <v>27983</v>
      </c>
      <c r="L308" s="19"/>
      <c r="M308" s="22">
        <f>SUM(M306:M307)</f>
        <v>23785</v>
      </c>
      <c r="N308" s="19"/>
      <c r="O308" s="22">
        <f>SUM(O306:O307)</f>
        <v>2163</v>
      </c>
      <c r="P308" s="19"/>
      <c r="Q308" s="22">
        <f>SUM(Q306:Q307)</f>
        <v>2035</v>
      </c>
      <c r="R308" s="6"/>
    </row>
    <row r="309" spans="1:18" s="3" customFormat="1" ht="13.5" customHeight="1">
      <c r="A309" s="19"/>
      <c r="B309" s="20" t="s">
        <v>14</v>
      </c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4"/>
      <c r="N309" s="19"/>
      <c r="O309" s="19"/>
      <c r="P309" s="19"/>
      <c r="Q309" s="19"/>
      <c r="R309" s="6"/>
    </row>
    <row r="310" spans="1:18" s="3" customFormat="1" ht="13.5" customHeight="1">
      <c r="A310" s="19" t="s">
        <v>13</v>
      </c>
      <c r="B310" s="20" t="s">
        <v>14</v>
      </c>
      <c r="C310" s="19" t="s">
        <v>14</v>
      </c>
      <c r="D310" s="19"/>
      <c r="E310" s="19" t="s">
        <v>14</v>
      </c>
      <c r="F310" s="19"/>
      <c r="G310" s="19" t="s">
        <v>14</v>
      </c>
      <c r="H310" s="19"/>
      <c r="I310" s="19" t="s">
        <v>14</v>
      </c>
      <c r="J310" s="19"/>
      <c r="K310" s="19"/>
      <c r="L310" s="19"/>
      <c r="M310" s="19" t="s">
        <v>14</v>
      </c>
      <c r="N310" s="19"/>
      <c r="O310" s="19" t="s">
        <v>14</v>
      </c>
      <c r="P310" s="19"/>
      <c r="Q310" s="19" t="s">
        <v>14</v>
      </c>
      <c r="R310" s="6"/>
    </row>
    <row r="311" spans="1:18" s="3" customFormat="1" ht="13.5" customHeight="1">
      <c r="A311" s="19" t="s">
        <v>85</v>
      </c>
      <c r="B311" s="20" t="s">
        <v>14</v>
      </c>
      <c r="C311" s="19">
        <v>10759</v>
      </c>
      <c r="D311" s="19"/>
      <c r="E311" s="19">
        <v>0</v>
      </c>
      <c r="F311" s="19"/>
      <c r="G311" s="19">
        <v>0</v>
      </c>
      <c r="H311" s="19"/>
      <c r="I311" s="19">
        <v>0</v>
      </c>
      <c r="J311" s="19"/>
      <c r="K311" s="19">
        <f t="shared" si="5"/>
        <v>10759</v>
      </c>
      <c r="L311" s="19"/>
      <c r="M311" s="19">
        <v>9785</v>
      </c>
      <c r="N311" s="19"/>
      <c r="O311" s="19">
        <v>974</v>
      </c>
      <c r="P311" s="19"/>
      <c r="Q311" s="19">
        <v>0</v>
      </c>
      <c r="R311" s="6"/>
    </row>
    <row r="312" spans="1:18" s="3" customFormat="1" ht="13.5" customHeight="1">
      <c r="A312" s="19" t="s">
        <v>211</v>
      </c>
      <c r="B312" s="20"/>
      <c r="C312" s="19">
        <v>0</v>
      </c>
      <c r="D312" s="19"/>
      <c r="E312" s="19">
        <v>0</v>
      </c>
      <c r="F312" s="19"/>
      <c r="G312" s="19">
        <v>198</v>
      </c>
      <c r="H312" s="19"/>
      <c r="I312" s="19">
        <v>0</v>
      </c>
      <c r="J312" s="19"/>
      <c r="K312" s="19">
        <f t="shared" si="5"/>
        <v>198</v>
      </c>
      <c r="L312" s="19"/>
      <c r="M312" s="19">
        <v>0</v>
      </c>
      <c r="N312" s="19"/>
      <c r="O312" s="19">
        <v>198</v>
      </c>
      <c r="P312" s="19"/>
      <c r="Q312" s="19">
        <v>0</v>
      </c>
      <c r="R312" s="6"/>
    </row>
    <row r="313" spans="1:18" s="3" customFormat="1" ht="13.5" customHeight="1">
      <c r="A313" s="19" t="s">
        <v>41</v>
      </c>
      <c r="B313" s="20" t="s">
        <v>14</v>
      </c>
      <c r="C313" s="19">
        <v>0</v>
      </c>
      <c r="D313" s="19"/>
      <c r="E313" s="19">
        <v>0</v>
      </c>
      <c r="F313" s="19"/>
      <c r="G313" s="19">
        <v>2790</v>
      </c>
      <c r="H313" s="19"/>
      <c r="I313" s="19">
        <v>0</v>
      </c>
      <c r="J313" s="19"/>
      <c r="K313" s="19">
        <f t="shared" si="5"/>
        <v>2790</v>
      </c>
      <c r="L313" s="19"/>
      <c r="M313" s="19">
        <v>168</v>
      </c>
      <c r="N313" s="19"/>
      <c r="O313" s="19">
        <f>2623-1</f>
        <v>2622</v>
      </c>
      <c r="P313" s="19"/>
      <c r="Q313" s="19">
        <v>0</v>
      </c>
      <c r="R313" s="6"/>
    </row>
    <row r="314" spans="1:18" s="3" customFormat="1" ht="13.5" customHeight="1">
      <c r="A314" s="19" t="s">
        <v>42</v>
      </c>
      <c r="B314" s="20"/>
      <c r="C314" s="19">
        <v>0</v>
      </c>
      <c r="D314" s="19"/>
      <c r="E314" s="19">
        <v>0</v>
      </c>
      <c r="F314" s="19"/>
      <c r="G314" s="19">
        <v>326</v>
      </c>
      <c r="H314" s="19"/>
      <c r="I314" s="19">
        <v>0</v>
      </c>
      <c r="J314" s="19"/>
      <c r="K314" s="19">
        <f t="shared" si="5"/>
        <v>326</v>
      </c>
      <c r="L314" s="19"/>
      <c r="M314" s="19">
        <v>0</v>
      </c>
      <c r="N314" s="19"/>
      <c r="O314" s="19">
        <v>326</v>
      </c>
      <c r="P314" s="19"/>
      <c r="Q314" s="19">
        <v>0</v>
      </c>
      <c r="R314" s="6"/>
    </row>
    <row r="315" spans="1:18" s="3" customFormat="1" ht="13.5" customHeight="1">
      <c r="A315" s="19" t="s">
        <v>89</v>
      </c>
      <c r="B315" s="20" t="s">
        <v>14</v>
      </c>
      <c r="C315" s="19">
        <v>195079</v>
      </c>
      <c r="D315" s="19"/>
      <c r="E315" s="19">
        <v>538747</v>
      </c>
      <c r="F315" s="19"/>
      <c r="G315" s="19">
        <v>9263</v>
      </c>
      <c r="H315" s="19"/>
      <c r="I315" s="19">
        <v>4984</v>
      </c>
      <c r="J315" s="19"/>
      <c r="K315" s="19">
        <f t="shared" si="5"/>
        <v>748073</v>
      </c>
      <c r="L315" s="19"/>
      <c r="M315" s="19">
        <v>566725</v>
      </c>
      <c r="N315" s="19"/>
      <c r="O315" s="19">
        <v>39768</v>
      </c>
      <c r="P315" s="19"/>
      <c r="Q315" s="19">
        <v>141580</v>
      </c>
      <c r="R315" s="6"/>
    </row>
    <row r="316" spans="1:18" s="3" customFormat="1" ht="13.5" customHeight="1">
      <c r="A316" s="19" t="s">
        <v>260</v>
      </c>
      <c r="B316" s="20" t="s">
        <v>14</v>
      </c>
      <c r="C316" s="19">
        <v>112372</v>
      </c>
      <c r="D316" s="19"/>
      <c r="E316" s="19">
        <v>0</v>
      </c>
      <c r="F316" s="19"/>
      <c r="G316" s="19">
        <v>25824</v>
      </c>
      <c r="H316" s="19"/>
      <c r="I316" s="19">
        <v>0</v>
      </c>
      <c r="J316" s="19"/>
      <c r="K316" s="19">
        <f t="shared" si="5"/>
        <v>138196</v>
      </c>
      <c r="L316" s="19"/>
      <c r="M316" s="24">
        <v>121361</v>
      </c>
      <c r="N316" s="19"/>
      <c r="O316" s="19">
        <v>3976</v>
      </c>
      <c r="P316" s="19"/>
      <c r="Q316" s="19">
        <v>12859</v>
      </c>
      <c r="R316" s="6"/>
    </row>
    <row r="317" spans="1:18" s="3" customFormat="1" ht="13.5" customHeight="1">
      <c r="A317" s="19" t="s">
        <v>90</v>
      </c>
      <c r="B317" s="20"/>
      <c r="C317" s="22">
        <v>0</v>
      </c>
      <c r="D317" s="19"/>
      <c r="E317" s="22">
        <v>0</v>
      </c>
      <c r="F317" s="19"/>
      <c r="G317" s="22">
        <v>20531</v>
      </c>
      <c r="H317" s="19"/>
      <c r="I317" s="22">
        <v>0</v>
      </c>
      <c r="J317" s="19"/>
      <c r="K317" s="22">
        <f t="shared" si="5"/>
        <v>20531</v>
      </c>
      <c r="L317" s="19"/>
      <c r="M317" s="22">
        <v>0</v>
      </c>
      <c r="N317" s="19"/>
      <c r="O317" s="22">
        <v>20531</v>
      </c>
      <c r="P317" s="19"/>
      <c r="Q317" s="22">
        <v>0</v>
      </c>
      <c r="R317" s="6"/>
    </row>
    <row r="318" spans="1:18" s="3" customFormat="1" ht="13.5" customHeight="1">
      <c r="A318" s="19" t="s">
        <v>145</v>
      </c>
      <c r="B318" s="20" t="s">
        <v>14</v>
      </c>
      <c r="C318" s="22">
        <f>SUM(C311:C317)</f>
        <v>318210</v>
      </c>
      <c r="D318" s="19"/>
      <c r="E318" s="22">
        <f>SUM(E311:E317)</f>
        <v>538747</v>
      </c>
      <c r="F318" s="19"/>
      <c r="G318" s="22">
        <f>SUM(G311:G317)</f>
        <v>58932</v>
      </c>
      <c r="H318" s="19"/>
      <c r="I318" s="22">
        <f>SUM(I311:I317)</f>
        <v>4984</v>
      </c>
      <c r="J318" s="19"/>
      <c r="K318" s="23">
        <f t="shared" si="5"/>
        <v>920873</v>
      </c>
      <c r="L318" s="19"/>
      <c r="M318" s="22">
        <f>SUM(M311:M317)</f>
        <v>698039</v>
      </c>
      <c r="N318" s="19"/>
      <c r="O318" s="22">
        <f>SUM(O311:O317)</f>
        <v>68395</v>
      </c>
      <c r="P318" s="19"/>
      <c r="Q318" s="22">
        <f>SUM(Q311:Q317)</f>
        <v>154439</v>
      </c>
      <c r="R318" s="6"/>
    </row>
    <row r="319" spans="1:18" s="3" customFormat="1" ht="13.5" customHeight="1">
      <c r="A319" s="19"/>
      <c r="B319" s="20" t="s">
        <v>14</v>
      </c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6"/>
    </row>
    <row r="320" spans="1:18" s="3" customFormat="1" ht="13.5" customHeight="1">
      <c r="A320" s="19" t="s">
        <v>16</v>
      </c>
      <c r="B320" s="20" t="s">
        <v>14</v>
      </c>
      <c r="C320" s="19" t="s">
        <v>14</v>
      </c>
      <c r="D320" s="19"/>
      <c r="E320" s="19" t="s">
        <v>14</v>
      </c>
      <c r="F320" s="19"/>
      <c r="G320" s="19" t="s">
        <v>14</v>
      </c>
      <c r="H320" s="19"/>
      <c r="I320" s="19" t="s">
        <v>14</v>
      </c>
      <c r="J320" s="19"/>
      <c r="K320" s="19"/>
      <c r="L320" s="19"/>
      <c r="M320" s="19" t="s">
        <v>14</v>
      </c>
      <c r="N320" s="19"/>
      <c r="O320" s="19" t="s">
        <v>14</v>
      </c>
      <c r="P320" s="19"/>
      <c r="Q320" s="19" t="s">
        <v>14</v>
      </c>
      <c r="R320" s="6"/>
    </row>
    <row r="321" spans="1:18" s="3" customFormat="1" ht="13.5" customHeight="1">
      <c r="A321" s="19" t="s">
        <v>263</v>
      </c>
      <c r="B321" s="20"/>
      <c r="C321" s="19">
        <v>0</v>
      </c>
      <c r="D321" s="19"/>
      <c r="E321" s="19">
        <v>11745</v>
      </c>
      <c r="F321" s="19"/>
      <c r="G321" s="19">
        <v>0</v>
      </c>
      <c r="H321" s="19"/>
      <c r="I321" s="19">
        <v>0</v>
      </c>
      <c r="J321" s="19"/>
      <c r="K321" s="19">
        <f t="shared" si="5"/>
        <v>11745</v>
      </c>
      <c r="L321" s="19"/>
      <c r="M321" s="19">
        <v>5646</v>
      </c>
      <c r="N321" s="19"/>
      <c r="O321" s="19">
        <v>3675</v>
      </c>
      <c r="P321" s="19"/>
      <c r="Q321" s="19">
        <v>2424</v>
      </c>
      <c r="R321" s="6"/>
    </row>
    <row r="322" spans="1:18" s="3" customFormat="1" ht="13.5" customHeight="1">
      <c r="A322" s="19" t="s">
        <v>264</v>
      </c>
      <c r="B322" s="20"/>
      <c r="C322" s="19">
        <v>0</v>
      </c>
      <c r="D322" s="19"/>
      <c r="E322" s="19">
        <v>5331</v>
      </c>
      <c r="F322" s="19"/>
      <c r="G322" s="19">
        <v>0</v>
      </c>
      <c r="H322" s="19"/>
      <c r="I322" s="19">
        <v>0</v>
      </c>
      <c r="J322" s="19"/>
      <c r="K322" s="19">
        <f t="shared" si="5"/>
        <v>5331</v>
      </c>
      <c r="L322" s="19"/>
      <c r="M322" s="19">
        <v>5331</v>
      </c>
      <c r="N322" s="19"/>
      <c r="O322" s="19">
        <v>0</v>
      </c>
      <c r="P322" s="19"/>
      <c r="Q322" s="19">
        <v>0</v>
      </c>
      <c r="R322" s="6"/>
    </row>
    <row r="323" spans="1:18" s="3" customFormat="1" ht="13.5" customHeight="1">
      <c r="A323" s="19" t="s">
        <v>265</v>
      </c>
      <c r="B323" s="20"/>
      <c r="C323" s="25">
        <v>0</v>
      </c>
      <c r="D323" s="19"/>
      <c r="E323" s="25">
        <v>24674</v>
      </c>
      <c r="F323" s="19"/>
      <c r="G323" s="25">
        <v>0</v>
      </c>
      <c r="H323" s="19"/>
      <c r="I323" s="25">
        <v>0</v>
      </c>
      <c r="J323" s="19"/>
      <c r="K323" s="19">
        <f t="shared" si="5"/>
        <v>24674</v>
      </c>
      <c r="L323" s="19"/>
      <c r="M323" s="25">
        <v>910</v>
      </c>
      <c r="N323" s="19"/>
      <c r="O323" s="25">
        <v>17642</v>
      </c>
      <c r="P323" s="19"/>
      <c r="Q323" s="25">
        <v>6122</v>
      </c>
      <c r="R323" s="6"/>
    </row>
    <row r="324" spans="1:18" s="4" customFormat="1" ht="13.5" customHeight="1">
      <c r="A324" s="19" t="s">
        <v>146</v>
      </c>
      <c r="B324" s="20" t="s">
        <v>14</v>
      </c>
      <c r="C324" s="22">
        <f>SUM(C321:C323)</f>
        <v>0</v>
      </c>
      <c r="D324" s="19"/>
      <c r="E324" s="22">
        <f>SUM(E321:E323)</f>
        <v>41750</v>
      </c>
      <c r="F324" s="19"/>
      <c r="G324" s="22">
        <f>SUM(G321:G323)</f>
        <v>0</v>
      </c>
      <c r="H324" s="19"/>
      <c r="I324" s="22">
        <f>SUM(I321:I323)</f>
        <v>0</v>
      </c>
      <c r="J324" s="19"/>
      <c r="K324" s="23">
        <f t="shared" si="5"/>
        <v>41750</v>
      </c>
      <c r="L324" s="19"/>
      <c r="M324" s="22">
        <f>SUM(M321:M323)</f>
        <v>11887</v>
      </c>
      <c r="N324" s="19"/>
      <c r="O324" s="22">
        <f>SUM(O321:O323)</f>
        <v>21317</v>
      </c>
      <c r="P324" s="19"/>
      <c r="Q324" s="22">
        <f>SUM(Q321:Q323)</f>
        <v>8546</v>
      </c>
      <c r="R324" s="7"/>
    </row>
    <row r="325" spans="1:18" s="3" customFormat="1" ht="13.5" customHeight="1">
      <c r="A325" s="19"/>
      <c r="B325" s="20" t="s">
        <v>14</v>
      </c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6"/>
    </row>
    <row r="326" spans="1:18" s="3" customFormat="1" ht="13.5" customHeight="1">
      <c r="A326" s="19" t="s">
        <v>285</v>
      </c>
      <c r="B326" s="20" t="s">
        <v>14</v>
      </c>
      <c r="C326" s="19" t="s">
        <v>14</v>
      </c>
      <c r="D326" s="19"/>
      <c r="E326" s="19" t="s">
        <v>14</v>
      </c>
      <c r="F326" s="19"/>
      <c r="G326" s="19" t="s">
        <v>14</v>
      </c>
      <c r="H326" s="19"/>
      <c r="I326" s="19" t="s">
        <v>14</v>
      </c>
      <c r="J326" s="19"/>
      <c r="K326" s="19"/>
      <c r="L326" s="19"/>
      <c r="M326" s="19" t="s">
        <v>14</v>
      </c>
      <c r="N326" s="19"/>
      <c r="O326" s="19" t="s">
        <v>14</v>
      </c>
      <c r="P326" s="19"/>
      <c r="Q326" s="19" t="s">
        <v>14</v>
      </c>
      <c r="R326" s="6"/>
    </row>
    <row r="327" spans="1:18" s="3" customFormat="1" ht="13.5" customHeight="1">
      <c r="A327" s="19" t="s">
        <v>280</v>
      </c>
      <c r="B327" s="20"/>
      <c r="C327" s="19">
        <v>702134</v>
      </c>
      <c r="D327" s="19"/>
      <c r="E327" s="19">
        <v>139642</v>
      </c>
      <c r="F327" s="19"/>
      <c r="G327" s="19">
        <v>10441</v>
      </c>
      <c r="H327" s="19"/>
      <c r="I327" s="19">
        <v>2123</v>
      </c>
      <c r="J327" s="19"/>
      <c r="K327" s="19">
        <f>IF(SUM(C327:I327)=SUM(M327:Q327),SUM(C327:I327),SUM(M327:Q327)-SUM(C327:I327))</f>
        <v>854340</v>
      </c>
      <c r="L327" s="19"/>
      <c r="M327" s="19">
        <v>626330</v>
      </c>
      <c r="N327" s="19"/>
      <c r="O327" s="19">
        <v>96920</v>
      </c>
      <c r="P327" s="19"/>
      <c r="Q327" s="19">
        <v>131090</v>
      </c>
      <c r="R327" s="6"/>
    </row>
    <row r="328" spans="1:18" s="3" customFormat="1" ht="13.5" customHeight="1">
      <c r="A328" s="19" t="s">
        <v>56</v>
      </c>
      <c r="B328" s="20"/>
      <c r="C328" s="19">
        <v>55043</v>
      </c>
      <c r="D328" s="19"/>
      <c r="E328" s="19">
        <v>0</v>
      </c>
      <c r="F328" s="19"/>
      <c r="G328" s="19">
        <v>6700</v>
      </c>
      <c r="H328" s="19"/>
      <c r="I328" s="19">
        <v>0</v>
      </c>
      <c r="J328" s="19"/>
      <c r="K328" s="19">
        <f>IF(SUM(C328:I328)=SUM(M328:Q328),SUM(C328:I328),SUM(M328:Q328)-SUM(C328:I328))</f>
        <v>61743</v>
      </c>
      <c r="L328" s="19"/>
      <c r="M328" s="19">
        <v>50597</v>
      </c>
      <c r="N328" s="19"/>
      <c r="O328" s="19">
        <v>2750</v>
      </c>
      <c r="P328" s="19"/>
      <c r="Q328" s="19">
        <v>8396</v>
      </c>
      <c r="R328" s="6"/>
    </row>
    <row r="329" spans="1:18" s="3" customFormat="1" ht="13.5" customHeight="1">
      <c r="A329" s="19" t="s">
        <v>58</v>
      </c>
      <c r="B329" s="20"/>
      <c r="C329" s="19">
        <v>0</v>
      </c>
      <c r="D329" s="19"/>
      <c r="E329" s="19">
        <v>289021</v>
      </c>
      <c r="F329" s="19"/>
      <c r="G329" s="19">
        <v>0</v>
      </c>
      <c r="H329" s="19"/>
      <c r="I329" s="19">
        <v>0</v>
      </c>
      <c r="J329" s="19"/>
      <c r="K329" s="19">
        <f>IF(SUM(C329:I329)=SUM(M329:Q329),SUM(C329:I329),SUM(M329:Q329)-SUM(C329:I329))</f>
        <v>289021</v>
      </c>
      <c r="L329" s="19"/>
      <c r="M329" s="19">
        <v>289021</v>
      </c>
      <c r="N329" s="19"/>
      <c r="O329" s="19">
        <v>0</v>
      </c>
      <c r="P329" s="19"/>
      <c r="Q329" s="19">
        <v>0</v>
      </c>
      <c r="R329" s="6"/>
    </row>
    <row r="330" spans="1:18" s="3" customFormat="1" ht="13.5" customHeight="1">
      <c r="A330" s="19" t="s">
        <v>180</v>
      </c>
      <c r="B330" s="20"/>
      <c r="C330" s="19">
        <v>2261438</v>
      </c>
      <c r="D330" s="19"/>
      <c r="E330" s="19">
        <v>0</v>
      </c>
      <c r="F330" s="19"/>
      <c r="G330" s="19">
        <v>35281</v>
      </c>
      <c r="H330" s="19"/>
      <c r="I330" s="19">
        <v>0</v>
      </c>
      <c r="J330" s="19"/>
      <c r="K330" s="19">
        <f t="shared" si="5"/>
        <v>2296719</v>
      </c>
      <c r="L330" s="19"/>
      <c r="M330" s="19">
        <v>1214265</v>
      </c>
      <c r="N330" s="19"/>
      <c r="O330" s="19">
        <v>734971</v>
      </c>
      <c r="P330" s="19"/>
      <c r="Q330" s="19">
        <v>347483</v>
      </c>
      <c r="R330" s="6"/>
    </row>
    <row r="331" spans="1:18" s="3" customFormat="1" ht="13.5" customHeight="1">
      <c r="A331" s="19" t="s">
        <v>38</v>
      </c>
      <c r="B331" s="20" t="s">
        <v>14</v>
      </c>
      <c r="C331" s="19">
        <v>0</v>
      </c>
      <c r="D331" s="19"/>
      <c r="E331" s="19">
        <v>0</v>
      </c>
      <c r="F331" s="19"/>
      <c r="G331" s="19">
        <v>914334</v>
      </c>
      <c r="H331" s="19"/>
      <c r="I331" s="19">
        <v>0</v>
      </c>
      <c r="J331" s="19"/>
      <c r="K331" s="24">
        <f t="shared" si="5"/>
        <v>914334</v>
      </c>
      <c r="L331" s="19"/>
      <c r="M331" s="19">
        <v>830266</v>
      </c>
      <c r="N331" s="19"/>
      <c r="O331" s="19">
        <f>84069-1</f>
        <v>84068</v>
      </c>
      <c r="P331" s="19"/>
      <c r="Q331" s="19">
        <v>0</v>
      </c>
      <c r="R331" s="6"/>
    </row>
    <row r="332" spans="1:18" s="3" customFormat="1" ht="13.5" customHeight="1">
      <c r="A332" s="19" t="s">
        <v>230</v>
      </c>
      <c r="B332" s="20" t="s">
        <v>14</v>
      </c>
      <c r="C332" s="19">
        <v>245</v>
      </c>
      <c r="D332" s="19"/>
      <c r="E332" s="19">
        <v>0</v>
      </c>
      <c r="F332" s="19"/>
      <c r="G332" s="19">
        <v>120066</v>
      </c>
      <c r="H332" s="19"/>
      <c r="I332" s="19">
        <v>0</v>
      </c>
      <c r="J332" s="19"/>
      <c r="K332" s="19">
        <f>IF(SUM(C332:I332)=SUM(M332:Q332),SUM(C332:I332),SUM(M332:Q332)-SUM(C332:I332))</f>
        <v>120311</v>
      </c>
      <c r="L332" s="19"/>
      <c r="M332" s="19">
        <v>82060</v>
      </c>
      <c r="N332" s="19"/>
      <c r="O332" s="19">
        <f>8427-1</f>
        <v>8426</v>
      </c>
      <c r="P332" s="19"/>
      <c r="Q332" s="19">
        <v>29825</v>
      </c>
      <c r="R332" s="6"/>
    </row>
    <row r="333" spans="1:18" s="3" customFormat="1" ht="13.5" customHeight="1">
      <c r="A333" s="19" t="s">
        <v>311</v>
      </c>
      <c r="B333" s="20"/>
      <c r="C333" s="19">
        <v>362411</v>
      </c>
      <c r="D333" s="19"/>
      <c r="E333" s="19">
        <v>0</v>
      </c>
      <c r="F333" s="19"/>
      <c r="G333" s="19">
        <v>0</v>
      </c>
      <c r="H333" s="19"/>
      <c r="I333" s="19">
        <v>0</v>
      </c>
      <c r="J333" s="19"/>
      <c r="K333" s="19">
        <f>IF(SUM(C333:I333)=SUM(M333:Q333),SUM(C333:I333),SUM(M333:Q333)-SUM(C333:I333))</f>
        <v>362411</v>
      </c>
      <c r="L333" s="19"/>
      <c r="M333" s="19">
        <v>283738</v>
      </c>
      <c r="N333" s="19"/>
      <c r="O333" s="19">
        <v>78673</v>
      </c>
      <c r="P333" s="19"/>
      <c r="Q333" s="19">
        <v>0</v>
      </c>
      <c r="R333" s="6"/>
    </row>
    <row r="334" spans="1:18" s="3" customFormat="1" ht="13.5" customHeight="1">
      <c r="A334" s="19" t="s">
        <v>286</v>
      </c>
      <c r="B334" s="20" t="s">
        <v>14</v>
      </c>
      <c r="C334" s="23">
        <f>SUM(C327:C333)</f>
        <v>3381271</v>
      </c>
      <c r="D334" s="19"/>
      <c r="E334" s="23">
        <f>SUM(E327:E333)</f>
        <v>428663</v>
      </c>
      <c r="F334" s="19"/>
      <c r="G334" s="23">
        <f>SUM(G327:G333)</f>
        <v>1086822</v>
      </c>
      <c r="H334" s="19"/>
      <c r="I334" s="23">
        <f>SUM(I327:I333)</f>
        <v>2123</v>
      </c>
      <c r="J334" s="19"/>
      <c r="K334" s="23">
        <f>SUM(K327:K333)</f>
        <v>4898879</v>
      </c>
      <c r="L334" s="19"/>
      <c r="M334" s="23">
        <f>SUM(M327:M333)</f>
        <v>3376277</v>
      </c>
      <c r="N334" s="19"/>
      <c r="O334" s="23">
        <f>SUM(O327:O333)</f>
        <v>1005808</v>
      </c>
      <c r="P334" s="19"/>
      <c r="Q334" s="23">
        <f>SUM(Q327:Q333)</f>
        <v>516794</v>
      </c>
      <c r="R334" s="6"/>
    </row>
    <row r="335" spans="1:18" s="3" customFormat="1" ht="13.5" customHeight="1">
      <c r="A335" s="19"/>
      <c r="B335" s="20"/>
      <c r="C335" s="24"/>
      <c r="D335" s="19"/>
      <c r="E335" s="24"/>
      <c r="F335" s="19"/>
      <c r="G335" s="24"/>
      <c r="H335" s="19"/>
      <c r="I335" s="24"/>
      <c r="J335" s="19"/>
      <c r="K335" s="19"/>
      <c r="L335" s="19"/>
      <c r="M335" s="24"/>
      <c r="N335" s="19"/>
      <c r="O335" s="24"/>
      <c r="P335" s="19"/>
      <c r="Q335" s="24"/>
      <c r="R335" s="6"/>
    </row>
    <row r="336" spans="1:18" s="3" customFormat="1" ht="13.5" customHeight="1">
      <c r="A336" s="19" t="s">
        <v>282</v>
      </c>
      <c r="B336" s="20"/>
      <c r="C336" s="25">
        <v>0</v>
      </c>
      <c r="D336" s="19"/>
      <c r="E336" s="25">
        <v>1177</v>
      </c>
      <c r="F336" s="19"/>
      <c r="G336" s="25">
        <v>0</v>
      </c>
      <c r="H336" s="19"/>
      <c r="I336" s="25">
        <v>0</v>
      </c>
      <c r="J336" s="19"/>
      <c r="K336" s="22">
        <f t="shared" si="5"/>
        <v>1177</v>
      </c>
      <c r="L336" s="19"/>
      <c r="M336" s="25">
        <v>0</v>
      </c>
      <c r="N336" s="19"/>
      <c r="O336" s="25">
        <v>1177</v>
      </c>
      <c r="P336" s="19"/>
      <c r="Q336" s="25">
        <v>0</v>
      </c>
      <c r="R336" s="6"/>
    </row>
    <row r="337" spans="1:18" s="3" customFormat="1" ht="13.5" customHeight="1">
      <c r="A337" s="19"/>
      <c r="B337" s="20"/>
      <c r="C337" s="24"/>
      <c r="D337" s="19"/>
      <c r="E337" s="24"/>
      <c r="F337" s="19"/>
      <c r="G337" s="24"/>
      <c r="H337" s="19"/>
      <c r="I337" s="24"/>
      <c r="J337" s="19"/>
      <c r="K337" s="19"/>
      <c r="L337" s="19"/>
      <c r="M337" s="24"/>
      <c r="N337" s="19"/>
      <c r="O337" s="24"/>
      <c r="P337" s="19"/>
      <c r="Q337" s="24"/>
      <c r="R337" s="6"/>
    </row>
    <row r="338" spans="1:18" s="3" customFormat="1" ht="13.5" customHeight="1">
      <c r="A338" s="19" t="s">
        <v>184</v>
      </c>
      <c r="B338" s="20"/>
      <c r="C338" s="22">
        <v>9837</v>
      </c>
      <c r="D338" s="19"/>
      <c r="E338" s="22">
        <v>389475</v>
      </c>
      <c r="F338" s="19"/>
      <c r="G338" s="22">
        <v>0</v>
      </c>
      <c r="H338" s="19"/>
      <c r="I338" s="22">
        <v>0</v>
      </c>
      <c r="J338" s="19"/>
      <c r="K338" s="22">
        <f t="shared" si="5"/>
        <v>399312</v>
      </c>
      <c r="L338" s="19"/>
      <c r="M338" s="22">
        <v>341767</v>
      </c>
      <c r="N338" s="19"/>
      <c r="O338" s="22">
        <v>57545</v>
      </c>
      <c r="P338" s="19"/>
      <c r="Q338" s="22">
        <v>0</v>
      </c>
      <c r="R338" s="6"/>
    </row>
    <row r="339" spans="1:18" s="3" customFormat="1" ht="13.5" customHeight="1">
      <c r="A339" s="19"/>
      <c r="B339" s="20" t="s">
        <v>14</v>
      </c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6"/>
    </row>
    <row r="340" spans="1:18" s="3" customFormat="1" ht="13.5" customHeight="1">
      <c r="A340" s="19" t="s">
        <v>199</v>
      </c>
      <c r="B340" s="20"/>
      <c r="C340" s="22">
        <v>41047</v>
      </c>
      <c r="D340" s="19"/>
      <c r="E340" s="22">
        <v>0</v>
      </c>
      <c r="F340" s="19"/>
      <c r="G340" s="22">
        <v>0</v>
      </c>
      <c r="H340" s="19"/>
      <c r="I340" s="22">
        <v>1430532</v>
      </c>
      <c r="J340" s="19"/>
      <c r="K340" s="22">
        <f t="shared" si="5"/>
        <v>1471579</v>
      </c>
      <c r="L340" s="19"/>
      <c r="M340" s="22">
        <v>1312992</v>
      </c>
      <c r="N340" s="19"/>
      <c r="O340" s="22">
        <v>158587</v>
      </c>
      <c r="P340" s="19"/>
      <c r="Q340" s="22">
        <v>0</v>
      </c>
      <c r="R340" s="6"/>
    </row>
    <row r="341" spans="1:18" s="3" customFormat="1" ht="13.5" customHeight="1">
      <c r="A341" s="19"/>
      <c r="B341" s="20"/>
      <c r="C341" s="24"/>
      <c r="D341" s="19"/>
      <c r="E341" s="24"/>
      <c r="F341" s="19"/>
      <c r="G341" s="24"/>
      <c r="H341" s="19"/>
      <c r="I341" s="24"/>
      <c r="J341" s="19"/>
      <c r="K341" s="19"/>
      <c r="L341" s="19"/>
      <c r="M341" s="24"/>
      <c r="N341" s="19"/>
      <c r="O341" s="24"/>
      <c r="P341" s="19"/>
      <c r="Q341" s="24"/>
      <c r="R341" s="6"/>
    </row>
    <row r="342" spans="1:18" s="3" customFormat="1" ht="13.5" customHeight="1">
      <c r="A342" s="19" t="s">
        <v>200</v>
      </c>
      <c r="B342" s="20"/>
      <c r="C342" s="22">
        <v>0</v>
      </c>
      <c r="D342" s="19"/>
      <c r="E342" s="22">
        <v>0</v>
      </c>
      <c r="F342" s="19"/>
      <c r="G342" s="22">
        <v>21115</v>
      </c>
      <c r="H342" s="19"/>
      <c r="I342" s="22">
        <v>0</v>
      </c>
      <c r="J342" s="19"/>
      <c r="K342" s="22">
        <f t="shared" si="5"/>
        <v>21115</v>
      </c>
      <c r="L342" s="19"/>
      <c r="M342" s="22">
        <v>18710</v>
      </c>
      <c r="N342" s="19"/>
      <c r="O342" s="22">
        <f>1+2404</f>
        <v>2405</v>
      </c>
      <c r="P342" s="19"/>
      <c r="Q342" s="22">
        <v>0</v>
      </c>
      <c r="R342" s="6"/>
    </row>
    <row r="343" spans="1:18" s="3" customFormat="1" ht="13.5" customHeight="1">
      <c r="A343" s="19"/>
      <c r="B343" s="20"/>
      <c r="C343" s="24"/>
      <c r="D343" s="19"/>
      <c r="E343" s="24"/>
      <c r="F343" s="19"/>
      <c r="G343" s="24"/>
      <c r="H343" s="19"/>
      <c r="I343" s="24"/>
      <c r="J343" s="19"/>
      <c r="K343" s="19"/>
      <c r="L343" s="19"/>
      <c r="M343" s="24"/>
      <c r="N343" s="19"/>
      <c r="O343" s="24"/>
      <c r="P343" s="19"/>
      <c r="Q343" s="24"/>
      <c r="R343" s="6"/>
    </row>
    <row r="344" spans="1:18" s="3" customFormat="1" ht="13.5" customHeight="1">
      <c r="A344" s="19" t="s">
        <v>188</v>
      </c>
      <c r="B344" s="20"/>
      <c r="C344" s="24"/>
      <c r="D344" s="19"/>
      <c r="E344" s="24"/>
      <c r="F344" s="19"/>
      <c r="G344" s="24"/>
      <c r="H344" s="19"/>
      <c r="I344" s="24"/>
      <c r="J344" s="19"/>
      <c r="K344" s="19"/>
      <c r="L344" s="19"/>
      <c r="M344" s="24"/>
      <c r="N344" s="19"/>
      <c r="O344" s="24"/>
      <c r="P344" s="19"/>
      <c r="Q344" s="24"/>
      <c r="R344" s="6"/>
    </row>
    <row r="345" spans="1:18" s="3" customFormat="1" ht="13.5" customHeight="1">
      <c r="A345" s="19" t="s">
        <v>278</v>
      </c>
      <c r="B345" s="20"/>
      <c r="C345" s="24">
        <v>49934</v>
      </c>
      <c r="D345" s="19"/>
      <c r="E345" s="24">
        <v>0</v>
      </c>
      <c r="F345" s="19"/>
      <c r="G345" s="24">
        <v>0</v>
      </c>
      <c r="H345" s="19"/>
      <c r="I345" s="24">
        <v>0</v>
      </c>
      <c r="J345" s="19"/>
      <c r="K345" s="19">
        <f t="shared" si="5"/>
        <v>49934</v>
      </c>
      <c r="L345" s="19"/>
      <c r="M345" s="24">
        <v>44190</v>
      </c>
      <c r="N345" s="19"/>
      <c r="O345" s="24">
        <v>0</v>
      </c>
      <c r="P345" s="19"/>
      <c r="Q345" s="24">
        <v>5744</v>
      </c>
      <c r="R345" s="6"/>
    </row>
    <row r="346" spans="1:18" s="3" customFormat="1" ht="13.5" customHeight="1">
      <c r="A346" s="19" t="s">
        <v>296</v>
      </c>
      <c r="B346" s="20"/>
      <c r="C346" s="24">
        <v>0</v>
      </c>
      <c r="D346" s="19"/>
      <c r="E346" s="24">
        <v>0</v>
      </c>
      <c r="F346" s="19"/>
      <c r="G346" s="24">
        <v>6000</v>
      </c>
      <c r="H346" s="19"/>
      <c r="I346" s="24">
        <v>0</v>
      </c>
      <c r="J346" s="19"/>
      <c r="K346" s="19">
        <f t="shared" si="5"/>
        <v>6000</v>
      </c>
      <c r="L346" s="19"/>
      <c r="M346" s="24">
        <v>6000</v>
      </c>
      <c r="N346" s="19"/>
      <c r="O346" s="24">
        <v>0</v>
      </c>
      <c r="P346" s="19"/>
      <c r="Q346" s="24">
        <v>0</v>
      </c>
      <c r="R346" s="6"/>
    </row>
    <row r="347" spans="1:18" s="3" customFormat="1" ht="13.5" customHeight="1">
      <c r="A347" s="19" t="s">
        <v>38</v>
      </c>
      <c r="B347" s="20"/>
      <c r="C347" s="24">
        <v>12017</v>
      </c>
      <c r="D347" s="19"/>
      <c r="E347" s="24">
        <v>0</v>
      </c>
      <c r="F347" s="19"/>
      <c r="G347" s="24">
        <v>0</v>
      </c>
      <c r="H347" s="19"/>
      <c r="I347" s="24">
        <v>0</v>
      </c>
      <c r="J347" s="19"/>
      <c r="K347" s="19">
        <f t="shared" si="5"/>
        <v>12017</v>
      </c>
      <c r="L347" s="19"/>
      <c r="M347" s="24">
        <v>10184</v>
      </c>
      <c r="N347" s="19"/>
      <c r="O347" s="24">
        <v>0</v>
      </c>
      <c r="P347" s="19"/>
      <c r="Q347" s="24">
        <v>1833</v>
      </c>
      <c r="R347" s="6"/>
    </row>
    <row r="348" spans="1:18" s="3" customFormat="1" ht="13.5" customHeight="1">
      <c r="A348" s="19" t="s">
        <v>229</v>
      </c>
      <c r="B348" s="20"/>
      <c r="C348" s="24">
        <v>0</v>
      </c>
      <c r="D348" s="19"/>
      <c r="E348" s="24">
        <v>0</v>
      </c>
      <c r="F348" s="19"/>
      <c r="G348" s="24">
        <v>347</v>
      </c>
      <c r="H348" s="19"/>
      <c r="I348" s="24">
        <v>0</v>
      </c>
      <c r="J348" s="19"/>
      <c r="K348" s="19">
        <f t="shared" si="5"/>
        <v>347</v>
      </c>
      <c r="L348" s="19"/>
      <c r="M348" s="24">
        <v>0</v>
      </c>
      <c r="N348" s="19"/>
      <c r="O348" s="24">
        <v>347</v>
      </c>
      <c r="P348" s="19"/>
      <c r="Q348" s="24">
        <v>0</v>
      </c>
      <c r="R348" s="6"/>
    </row>
    <row r="349" spans="1:18" s="3" customFormat="1" ht="13.5" customHeight="1">
      <c r="A349" s="19" t="s">
        <v>157</v>
      </c>
      <c r="B349" s="20"/>
      <c r="C349" s="24">
        <v>271758</v>
      </c>
      <c r="D349" s="19"/>
      <c r="E349" s="24">
        <v>27399</v>
      </c>
      <c r="F349" s="19"/>
      <c r="G349" s="24">
        <v>0</v>
      </c>
      <c r="H349" s="19"/>
      <c r="I349" s="24">
        <v>0</v>
      </c>
      <c r="J349" s="19"/>
      <c r="K349" s="22">
        <f t="shared" si="5"/>
        <v>299157</v>
      </c>
      <c r="L349" s="19"/>
      <c r="M349" s="24">
        <v>243806</v>
      </c>
      <c r="N349" s="19"/>
      <c r="O349" s="24">
        <v>29192</v>
      </c>
      <c r="P349" s="19"/>
      <c r="Q349" s="24">
        <v>26159</v>
      </c>
      <c r="R349" s="6"/>
    </row>
    <row r="350" spans="1:18" s="3" customFormat="1" ht="13.5" customHeight="1">
      <c r="A350" s="19" t="s">
        <v>196</v>
      </c>
      <c r="B350" s="20"/>
      <c r="C350" s="23">
        <f>SUM(C345:C349)</f>
        <v>333709</v>
      </c>
      <c r="D350" s="19"/>
      <c r="E350" s="23">
        <f>SUM(E345:E349)</f>
        <v>27399</v>
      </c>
      <c r="F350" s="19"/>
      <c r="G350" s="23">
        <f>SUM(G345:G349)</f>
        <v>6347</v>
      </c>
      <c r="H350" s="19"/>
      <c r="I350" s="23">
        <f>SUM(I345:I349)</f>
        <v>0</v>
      </c>
      <c r="J350" s="19"/>
      <c r="K350" s="23">
        <f>IF(SUM(C350:I350)=SUM(M350:Q350),SUM(C350:I350),SUM(M350:Q350)-SUM(C350:I350))</f>
        <v>367455</v>
      </c>
      <c r="L350" s="19"/>
      <c r="M350" s="23">
        <f>SUM(M345:M349)</f>
        <v>304180</v>
      </c>
      <c r="N350" s="19"/>
      <c r="O350" s="23">
        <f>SUM(O345:O349)</f>
        <v>29539</v>
      </c>
      <c r="P350" s="19"/>
      <c r="Q350" s="23">
        <f>SUM(Q345:Q349)</f>
        <v>33736</v>
      </c>
      <c r="R350" s="6"/>
    </row>
    <row r="351" spans="1:18" s="3" customFormat="1" ht="13.5" customHeight="1">
      <c r="A351" s="19"/>
      <c r="B351" s="20" t="s">
        <v>14</v>
      </c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6"/>
    </row>
    <row r="352" spans="1:18" s="3" customFormat="1" ht="13.5" customHeight="1">
      <c r="A352" s="19" t="s">
        <v>17</v>
      </c>
      <c r="B352" s="20" t="s">
        <v>14</v>
      </c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6"/>
    </row>
    <row r="353" spans="1:18" s="3" customFormat="1" ht="13.5" customHeight="1">
      <c r="A353" s="19" t="s">
        <v>243</v>
      </c>
      <c r="B353" s="20" t="s">
        <v>14</v>
      </c>
      <c r="C353" s="24">
        <v>0</v>
      </c>
      <c r="D353" s="19"/>
      <c r="E353" s="24">
        <v>0</v>
      </c>
      <c r="F353" s="19"/>
      <c r="G353" s="24">
        <v>107955</v>
      </c>
      <c r="H353" s="19"/>
      <c r="I353" s="24">
        <v>0</v>
      </c>
      <c r="J353" s="19"/>
      <c r="K353" s="24">
        <f>IF(SUM(C353:I353)=SUM(M353:Q353),SUM(C353:I353),SUM(M353:Q353)-SUM(C353:I353))</f>
        <v>107955</v>
      </c>
      <c r="L353" s="19"/>
      <c r="M353" s="24">
        <v>78158</v>
      </c>
      <c r="N353" s="19"/>
      <c r="O353" s="24">
        <v>29797</v>
      </c>
      <c r="P353" s="19"/>
      <c r="Q353" s="24">
        <v>0</v>
      </c>
      <c r="R353" s="6"/>
    </row>
    <row r="354" spans="1:18" s="3" customFormat="1" ht="13.5" customHeight="1">
      <c r="A354" s="19" t="s">
        <v>281</v>
      </c>
      <c r="B354" s="20"/>
      <c r="C354" s="25">
        <v>0</v>
      </c>
      <c r="D354" s="19"/>
      <c r="E354" s="25">
        <v>0</v>
      </c>
      <c r="F354" s="19"/>
      <c r="G354" s="25">
        <v>22256</v>
      </c>
      <c r="H354" s="19"/>
      <c r="I354" s="25">
        <v>348744</v>
      </c>
      <c r="J354" s="19"/>
      <c r="K354" s="25">
        <f>IF(SUM(C354:I354)=SUM(M354:Q354),SUM(C354:I354),SUM(M354:Q354)-SUM(C354:I354))</f>
        <v>371000</v>
      </c>
      <c r="L354" s="19"/>
      <c r="M354" s="25">
        <v>3000</v>
      </c>
      <c r="N354" s="19"/>
      <c r="O354" s="25">
        <v>368000</v>
      </c>
      <c r="P354" s="19"/>
      <c r="Q354" s="25">
        <v>0</v>
      </c>
      <c r="R354" s="6"/>
    </row>
    <row r="355" spans="1:18" s="3" customFormat="1" ht="13.5" customHeight="1">
      <c r="A355" s="19" t="s">
        <v>147</v>
      </c>
      <c r="B355" s="20"/>
      <c r="C355" s="25">
        <f>SUM(C353:C354)</f>
        <v>0</v>
      </c>
      <c r="D355" s="19"/>
      <c r="E355" s="25">
        <f>SUM(E353:E354)</f>
        <v>0</v>
      </c>
      <c r="F355" s="19"/>
      <c r="G355" s="25">
        <f>SUM(G353:G354)</f>
        <v>130211</v>
      </c>
      <c r="H355" s="19"/>
      <c r="I355" s="25">
        <f>SUM(I353:I354)</f>
        <v>348744</v>
      </c>
      <c r="J355" s="19"/>
      <c r="K355" s="25">
        <f>SUM(K353:K354)</f>
        <v>478955</v>
      </c>
      <c r="L355" s="19"/>
      <c r="M355" s="25">
        <f>SUM(M353:M354)</f>
        <v>81158</v>
      </c>
      <c r="N355" s="19"/>
      <c r="O355" s="25">
        <f>SUM(O353:O354)</f>
        <v>397797</v>
      </c>
      <c r="P355" s="19"/>
      <c r="Q355" s="25">
        <f>SUM(Q353:Q354)</f>
        <v>0</v>
      </c>
      <c r="R355" s="6"/>
    </row>
    <row r="356" spans="1:18" s="3" customFormat="1" ht="13.5" customHeight="1">
      <c r="A356" s="19"/>
      <c r="B356" s="20" t="s">
        <v>14</v>
      </c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6"/>
    </row>
    <row r="357" spans="1:18" s="3" customFormat="1" ht="13.5" customHeight="1">
      <c r="A357" s="19" t="s">
        <v>172</v>
      </c>
      <c r="B357" s="20" t="s">
        <v>14</v>
      </c>
      <c r="C357" s="22">
        <v>0</v>
      </c>
      <c r="D357" s="19"/>
      <c r="E357" s="22">
        <v>0</v>
      </c>
      <c r="F357" s="19"/>
      <c r="G357" s="22">
        <v>19498</v>
      </c>
      <c r="H357" s="19"/>
      <c r="I357" s="22">
        <v>0</v>
      </c>
      <c r="J357" s="19"/>
      <c r="K357" s="22">
        <f>IF(SUM(C357:I357)=SUM(M357:Q357),SUM(C357:I357),SUM(M357:Q357)-SUM(C357:I357))</f>
        <v>19498</v>
      </c>
      <c r="L357" s="19"/>
      <c r="M357" s="22">
        <v>8096</v>
      </c>
      <c r="N357" s="19"/>
      <c r="O357" s="22">
        <v>7628</v>
      </c>
      <c r="P357" s="19"/>
      <c r="Q357" s="22">
        <v>3774</v>
      </c>
      <c r="R357" s="6"/>
    </row>
    <row r="358" spans="1:18" s="3" customFormat="1" ht="13.5" customHeight="1">
      <c r="A358" s="19"/>
      <c r="B358" s="20" t="s">
        <v>14</v>
      </c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6"/>
    </row>
    <row r="359" spans="1:18" s="3" customFormat="1" ht="13.5" customHeight="1">
      <c r="A359" s="19" t="s">
        <v>18</v>
      </c>
      <c r="B359" s="20" t="s">
        <v>14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6"/>
    </row>
    <row r="360" spans="1:18" s="3" customFormat="1" ht="13.5" customHeight="1">
      <c r="A360" s="19" t="s">
        <v>252</v>
      </c>
      <c r="B360" s="20"/>
      <c r="C360" s="19">
        <v>3217</v>
      </c>
      <c r="D360" s="19"/>
      <c r="E360" s="19">
        <v>1121042</v>
      </c>
      <c r="F360" s="19"/>
      <c r="G360" s="19">
        <v>10345</v>
      </c>
      <c r="H360" s="19"/>
      <c r="I360" s="19">
        <v>0</v>
      </c>
      <c r="J360" s="19"/>
      <c r="K360" s="19">
        <f>IF(SUM(C360:I360)=SUM(M360:Q360),SUM(C360:I360),SUM(M360:Q360)-SUM(C360:I360))</f>
        <v>1134604</v>
      </c>
      <c r="L360" s="19"/>
      <c r="M360" s="19">
        <v>595817</v>
      </c>
      <c r="N360" s="19"/>
      <c r="O360" s="19">
        <f>2+314356</f>
        <v>314358</v>
      </c>
      <c r="P360" s="19"/>
      <c r="Q360" s="19">
        <v>224429</v>
      </c>
      <c r="R360" s="6"/>
    </row>
    <row r="361" spans="1:18" s="3" customFormat="1" ht="13.5" customHeight="1">
      <c r="A361" s="19" t="s">
        <v>38</v>
      </c>
      <c r="B361" s="20"/>
      <c r="C361" s="19">
        <v>0</v>
      </c>
      <c r="D361" s="19"/>
      <c r="E361" s="19">
        <v>948645</v>
      </c>
      <c r="F361" s="19"/>
      <c r="G361" s="19">
        <v>41908</v>
      </c>
      <c r="H361" s="19"/>
      <c r="I361" s="19">
        <v>0</v>
      </c>
      <c r="J361" s="19"/>
      <c r="K361" s="24">
        <f>IF(SUM(C361:I361)=SUM(M361:Q361),SUM(C361:I361),SUM(M361:Q361)-SUM(C361:I361))</f>
        <v>990553</v>
      </c>
      <c r="L361" s="19"/>
      <c r="M361" s="19">
        <v>740857</v>
      </c>
      <c r="N361" s="19"/>
      <c r="O361" s="19">
        <v>177431</v>
      </c>
      <c r="P361" s="19"/>
      <c r="Q361" s="19">
        <v>72265</v>
      </c>
      <c r="R361" s="6"/>
    </row>
    <row r="362" spans="1:18" s="3" customFormat="1" ht="13.5" customHeight="1">
      <c r="A362" s="19" t="s">
        <v>65</v>
      </c>
      <c r="B362" s="20"/>
      <c r="C362" s="19">
        <v>0</v>
      </c>
      <c r="D362" s="19"/>
      <c r="E362" s="19">
        <v>0</v>
      </c>
      <c r="F362" s="19"/>
      <c r="G362" s="19">
        <v>20290</v>
      </c>
      <c r="H362" s="19"/>
      <c r="I362" s="19">
        <v>0</v>
      </c>
      <c r="J362" s="19"/>
      <c r="K362" s="22">
        <f>IF(SUM(C362:I362)=SUM(M362:Q362),SUM(C362:I362),SUM(M362:Q362)-SUM(C362:I362))</f>
        <v>20290</v>
      </c>
      <c r="L362" s="19"/>
      <c r="M362" s="19">
        <v>19765</v>
      </c>
      <c r="N362" s="19"/>
      <c r="O362" s="19">
        <v>525</v>
      </c>
      <c r="P362" s="19"/>
      <c r="Q362" s="19">
        <v>0</v>
      </c>
      <c r="R362" s="6"/>
    </row>
    <row r="363" spans="1:18" s="3" customFormat="1" ht="13.5" customHeight="1">
      <c r="A363" s="19" t="s">
        <v>148</v>
      </c>
      <c r="B363" s="20" t="s">
        <v>14</v>
      </c>
      <c r="C363" s="23">
        <f>SUM(C360:C362)</f>
        <v>3217</v>
      </c>
      <c r="D363" s="19"/>
      <c r="E363" s="23">
        <f>SUM(E360:E362)</f>
        <v>2069687</v>
      </c>
      <c r="F363" s="19"/>
      <c r="G363" s="23">
        <f>SUM(G360:G362)</f>
        <v>72543</v>
      </c>
      <c r="H363" s="19"/>
      <c r="I363" s="23">
        <f>SUM(I360:I362)</f>
        <v>0</v>
      </c>
      <c r="J363" s="19"/>
      <c r="K363" s="23">
        <f>IF(SUM(C363:I363)=SUM(M363:Q363),SUM(C363:I363),SUM(M363:Q363)-SUM(C363:I363))</f>
        <v>2145447</v>
      </c>
      <c r="L363" s="19"/>
      <c r="M363" s="23">
        <f>SUM(M360:M362)</f>
        <v>1356439</v>
      </c>
      <c r="N363" s="19"/>
      <c r="O363" s="23">
        <f>SUM(O360:O362)</f>
        <v>492314</v>
      </c>
      <c r="P363" s="19"/>
      <c r="Q363" s="23">
        <f>SUM(Q360:Q361)</f>
        <v>296694</v>
      </c>
      <c r="R363" s="6"/>
    </row>
    <row r="364" spans="1:18" s="3" customFormat="1" ht="13.5" customHeight="1">
      <c r="A364" s="19"/>
      <c r="B364" s="20" t="s">
        <v>14</v>
      </c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6"/>
    </row>
    <row r="365" spans="1:18" s="3" customFormat="1" ht="13.5" customHeight="1">
      <c r="A365" s="19" t="s">
        <v>19</v>
      </c>
      <c r="B365" s="20" t="s">
        <v>14</v>
      </c>
      <c r="C365" s="19"/>
      <c r="D365" s="19"/>
      <c r="E365" s="19" t="s">
        <v>14</v>
      </c>
      <c r="F365" s="19"/>
      <c r="G365" s="19" t="s">
        <v>14</v>
      </c>
      <c r="H365" s="19"/>
      <c r="I365" s="19" t="s">
        <v>14</v>
      </c>
      <c r="J365" s="19"/>
      <c r="K365" s="19"/>
      <c r="L365" s="19"/>
      <c r="M365" s="19" t="s">
        <v>14</v>
      </c>
      <c r="N365" s="19"/>
      <c r="O365" s="19" t="s">
        <v>14</v>
      </c>
      <c r="P365" s="19"/>
      <c r="Q365" s="19" t="s">
        <v>14</v>
      </c>
      <c r="R365" s="6"/>
    </row>
    <row r="366" spans="1:18" s="3" customFormat="1" ht="13.5" customHeight="1">
      <c r="A366" s="19" t="s">
        <v>67</v>
      </c>
      <c r="B366" s="20"/>
      <c r="C366" s="19">
        <v>0</v>
      </c>
      <c r="D366" s="19"/>
      <c r="E366" s="19">
        <v>0</v>
      </c>
      <c r="F366" s="19"/>
      <c r="G366" s="19">
        <v>2616</v>
      </c>
      <c r="H366" s="19"/>
      <c r="I366" s="19">
        <v>0</v>
      </c>
      <c r="J366" s="19"/>
      <c r="K366" s="19">
        <f aca="true" t="shared" si="6" ref="K366:K372">IF(SUM(C366:I366)=SUM(M366:Q366),SUM(C366:I366),SUM(M366:Q366)-SUM(C366:I366))</f>
        <v>2616</v>
      </c>
      <c r="L366" s="19"/>
      <c r="M366" s="19">
        <v>2077</v>
      </c>
      <c r="N366" s="19"/>
      <c r="O366" s="19">
        <v>532</v>
      </c>
      <c r="P366" s="19"/>
      <c r="Q366" s="19">
        <v>7</v>
      </c>
      <c r="R366" s="6"/>
    </row>
    <row r="367" spans="1:18" s="3" customFormat="1" ht="13.5" customHeight="1">
      <c r="A367" s="19" t="s">
        <v>68</v>
      </c>
      <c r="B367" s="20"/>
      <c r="C367" s="19">
        <v>0</v>
      </c>
      <c r="D367" s="19"/>
      <c r="E367" s="19">
        <v>0</v>
      </c>
      <c r="F367" s="19"/>
      <c r="G367" s="19">
        <v>86</v>
      </c>
      <c r="H367" s="19"/>
      <c r="I367" s="19">
        <v>0</v>
      </c>
      <c r="J367" s="19"/>
      <c r="K367" s="19">
        <f t="shared" si="6"/>
        <v>86</v>
      </c>
      <c r="L367" s="19"/>
      <c r="M367" s="19">
        <v>0</v>
      </c>
      <c r="N367" s="19"/>
      <c r="O367" s="19">
        <v>86</v>
      </c>
      <c r="P367" s="19"/>
      <c r="Q367" s="19">
        <v>0</v>
      </c>
      <c r="R367" s="6"/>
    </row>
    <row r="368" spans="1:18" s="3" customFormat="1" ht="13.5" customHeight="1">
      <c r="A368" s="19" t="s">
        <v>38</v>
      </c>
      <c r="B368" s="20"/>
      <c r="C368" s="19">
        <v>20664</v>
      </c>
      <c r="D368" s="19"/>
      <c r="E368" s="19">
        <v>25958</v>
      </c>
      <c r="F368" s="19"/>
      <c r="G368" s="19">
        <v>13104</v>
      </c>
      <c r="H368" s="19"/>
      <c r="I368" s="19">
        <v>0</v>
      </c>
      <c r="J368" s="19"/>
      <c r="K368" s="19">
        <f t="shared" si="6"/>
        <v>59726</v>
      </c>
      <c r="L368" s="19"/>
      <c r="M368" s="19">
        <v>19422</v>
      </c>
      <c r="N368" s="19"/>
      <c r="O368" s="19">
        <f>34165-1</f>
        <v>34164</v>
      </c>
      <c r="P368" s="19"/>
      <c r="Q368" s="19">
        <v>6140</v>
      </c>
      <c r="R368" s="6"/>
    </row>
    <row r="369" spans="1:18" s="3" customFormat="1" ht="13.5" customHeight="1">
      <c r="A369" s="19" t="s">
        <v>209</v>
      </c>
      <c r="B369" s="20"/>
      <c r="C369" s="19">
        <v>0</v>
      </c>
      <c r="D369" s="19"/>
      <c r="E369" s="19">
        <v>0</v>
      </c>
      <c r="F369" s="19"/>
      <c r="G369" s="19">
        <v>0</v>
      </c>
      <c r="H369" s="19"/>
      <c r="I369" s="19">
        <v>35287</v>
      </c>
      <c r="J369" s="19"/>
      <c r="K369" s="19">
        <f t="shared" si="6"/>
        <v>35287</v>
      </c>
      <c r="L369" s="19"/>
      <c r="M369" s="19">
        <v>0</v>
      </c>
      <c r="N369" s="19"/>
      <c r="O369" s="19">
        <v>35287</v>
      </c>
      <c r="P369" s="19"/>
      <c r="Q369" s="19">
        <v>0</v>
      </c>
      <c r="R369" s="6"/>
    </row>
    <row r="370" spans="1:18" s="3" customFormat="1" ht="13.5" customHeight="1">
      <c r="A370" s="19" t="s">
        <v>98</v>
      </c>
      <c r="B370" s="20"/>
      <c r="C370" s="19">
        <v>0</v>
      </c>
      <c r="D370" s="19"/>
      <c r="E370" s="19">
        <v>1456</v>
      </c>
      <c r="F370" s="19"/>
      <c r="G370" s="19">
        <v>0</v>
      </c>
      <c r="H370" s="19"/>
      <c r="I370" s="19">
        <v>0</v>
      </c>
      <c r="J370" s="19"/>
      <c r="K370" s="19">
        <f t="shared" si="6"/>
        <v>1456</v>
      </c>
      <c r="L370" s="19"/>
      <c r="M370" s="19">
        <v>0</v>
      </c>
      <c r="N370" s="19"/>
      <c r="O370" s="19">
        <v>1456</v>
      </c>
      <c r="P370" s="19"/>
      <c r="Q370" s="19">
        <v>0</v>
      </c>
      <c r="R370" s="6"/>
    </row>
    <row r="371" spans="1:18" s="3" customFormat="1" ht="13.5" customHeight="1">
      <c r="A371" s="19" t="s">
        <v>70</v>
      </c>
      <c r="B371" s="20" t="s">
        <v>14</v>
      </c>
      <c r="C371" s="22">
        <v>0</v>
      </c>
      <c r="D371" s="19"/>
      <c r="E371" s="22">
        <v>0</v>
      </c>
      <c r="F371" s="19"/>
      <c r="G371" s="22">
        <v>0</v>
      </c>
      <c r="H371" s="19"/>
      <c r="I371" s="22">
        <v>235975</v>
      </c>
      <c r="J371" s="19"/>
      <c r="K371" s="22">
        <f t="shared" si="6"/>
        <v>235975</v>
      </c>
      <c r="L371" s="19"/>
      <c r="M371" s="22">
        <v>200247</v>
      </c>
      <c r="N371" s="19"/>
      <c r="O371" s="22">
        <v>35728</v>
      </c>
      <c r="P371" s="19"/>
      <c r="Q371" s="22">
        <v>0</v>
      </c>
      <c r="R371" s="6"/>
    </row>
    <row r="372" spans="1:18" s="3" customFormat="1" ht="13.5" customHeight="1">
      <c r="A372" s="19" t="s">
        <v>159</v>
      </c>
      <c r="B372" s="20" t="s">
        <v>14</v>
      </c>
      <c r="C372" s="22">
        <f>SUM(C366:C371)</f>
        <v>20664</v>
      </c>
      <c r="D372" s="19"/>
      <c r="E372" s="22">
        <f>SUM(E366:E371)</f>
        <v>27414</v>
      </c>
      <c r="F372" s="19"/>
      <c r="G372" s="22">
        <f>SUM(G366:G371)</f>
        <v>15806</v>
      </c>
      <c r="H372" s="19"/>
      <c r="I372" s="22">
        <f>SUM(I366:I371)</f>
        <v>271262</v>
      </c>
      <c r="J372" s="19"/>
      <c r="K372" s="23">
        <f t="shared" si="6"/>
        <v>335146</v>
      </c>
      <c r="L372" s="19"/>
      <c r="M372" s="22">
        <f>SUM(M366:M371)</f>
        <v>221746</v>
      </c>
      <c r="N372" s="19"/>
      <c r="O372" s="22">
        <f>SUM(O366:O371)</f>
        <v>107253</v>
      </c>
      <c r="P372" s="19"/>
      <c r="Q372" s="22">
        <f>SUM(Q366:Q371)</f>
        <v>6147</v>
      </c>
      <c r="R372" s="6"/>
    </row>
    <row r="373" spans="1:18" s="3" customFormat="1" ht="13.5" customHeight="1">
      <c r="A373" s="19"/>
      <c r="B373" s="20"/>
      <c r="C373" s="24"/>
      <c r="D373" s="19"/>
      <c r="E373" s="24"/>
      <c r="F373" s="19"/>
      <c r="G373" s="24"/>
      <c r="H373" s="19"/>
      <c r="I373" s="24"/>
      <c r="J373" s="19"/>
      <c r="K373" s="19"/>
      <c r="L373" s="19"/>
      <c r="M373" s="24"/>
      <c r="N373" s="19"/>
      <c r="O373" s="24"/>
      <c r="P373" s="19"/>
      <c r="Q373" s="24"/>
      <c r="R373" s="6"/>
    </row>
    <row r="374" spans="1:18" s="3" customFormat="1" ht="13.5" customHeight="1">
      <c r="A374" s="19" t="s">
        <v>297</v>
      </c>
      <c r="B374" s="20"/>
      <c r="C374" s="25">
        <v>0</v>
      </c>
      <c r="D374" s="19"/>
      <c r="E374" s="25">
        <v>0</v>
      </c>
      <c r="F374" s="19"/>
      <c r="G374" s="25">
        <v>3000</v>
      </c>
      <c r="H374" s="19"/>
      <c r="I374" s="25">
        <v>0</v>
      </c>
      <c r="J374" s="19"/>
      <c r="K374" s="22">
        <f>IF(SUM(C374:I374)=SUM(M374:Q374),SUM(C374:I374),SUM(M374:Q374)-SUM(C374:I374))</f>
        <v>3000</v>
      </c>
      <c r="L374" s="19"/>
      <c r="M374" s="25">
        <v>3000</v>
      </c>
      <c r="N374" s="19"/>
      <c r="O374" s="25">
        <v>0</v>
      </c>
      <c r="P374" s="19"/>
      <c r="Q374" s="25">
        <v>0</v>
      </c>
      <c r="R374" s="6"/>
    </row>
    <row r="375" spans="1:18" s="3" customFormat="1" ht="13.5" customHeight="1">
      <c r="A375" s="19"/>
      <c r="B375" s="20"/>
      <c r="C375" s="24"/>
      <c r="D375" s="19"/>
      <c r="E375" s="24"/>
      <c r="F375" s="19"/>
      <c r="G375" s="24"/>
      <c r="H375" s="19"/>
      <c r="I375" s="24"/>
      <c r="J375" s="19"/>
      <c r="K375" s="19"/>
      <c r="L375" s="19"/>
      <c r="M375" s="24"/>
      <c r="N375" s="19"/>
      <c r="O375" s="24"/>
      <c r="P375" s="19"/>
      <c r="Q375" s="24"/>
      <c r="R375" s="6"/>
    </row>
    <row r="376" spans="1:18" s="3" customFormat="1" ht="13.5" customHeight="1">
      <c r="A376" s="19" t="s">
        <v>253</v>
      </c>
      <c r="B376" s="20"/>
      <c r="C376" s="22">
        <v>1256483</v>
      </c>
      <c r="D376" s="19"/>
      <c r="E376" s="22">
        <v>0</v>
      </c>
      <c r="F376" s="19"/>
      <c r="G376" s="22">
        <v>20724</v>
      </c>
      <c r="H376" s="19"/>
      <c r="I376" s="22">
        <v>0</v>
      </c>
      <c r="J376" s="19"/>
      <c r="K376" s="22">
        <f>IF(SUM(C376:I376)=SUM(M376:Q376),SUM(C376:I376),SUM(M376:Q376)-SUM(C376:I376))</f>
        <v>1277207</v>
      </c>
      <c r="L376" s="19"/>
      <c r="M376" s="22">
        <v>1036078</v>
      </c>
      <c r="N376" s="19"/>
      <c r="O376" s="22">
        <v>226026</v>
      </c>
      <c r="P376" s="19"/>
      <c r="Q376" s="22">
        <v>15103</v>
      </c>
      <c r="R376" s="6"/>
    </row>
    <row r="377" spans="1:18" s="3" customFormat="1" ht="13.5" customHeight="1">
      <c r="A377" s="19"/>
      <c r="B377" s="20" t="s">
        <v>14</v>
      </c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6"/>
    </row>
    <row r="378" spans="1:18" s="3" customFormat="1" ht="13.5" customHeight="1">
      <c r="A378" s="19" t="s">
        <v>267</v>
      </c>
      <c r="B378" s="20"/>
      <c r="C378" s="25">
        <v>0</v>
      </c>
      <c r="D378" s="19"/>
      <c r="E378" s="25">
        <v>0</v>
      </c>
      <c r="F378" s="19"/>
      <c r="G378" s="25">
        <v>33860</v>
      </c>
      <c r="H378" s="19"/>
      <c r="I378" s="25">
        <v>0</v>
      </c>
      <c r="J378" s="19"/>
      <c r="K378" s="25">
        <f>IF(SUM(C378:I378)=SUM(M378:Q378),SUM(C378:I378),SUM(M378:Q378)-SUM(C378:I378))</f>
        <v>33860</v>
      </c>
      <c r="L378" s="19"/>
      <c r="M378" s="25">
        <v>4693</v>
      </c>
      <c r="N378" s="19"/>
      <c r="O378" s="25">
        <f>1+29166</f>
        <v>29167</v>
      </c>
      <c r="P378" s="19"/>
      <c r="Q378" s="25">
        <v>0</v>
      </c>
      <c r="R378" s="6"/>
    </row>
    <row r="379" spans="1:18" s="3" customFormat="1" ht="13.5" customHeight="1">
      <c r="A379" s="19"/>
      <c r="B379" s="20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6"/>
    </row>
    <row r="380" spans="1:18" s="3" customFormat="1" ht="13.5" customHeight="1">
      <c r="A380" s="19" t="s">
        <v>140</v>
      </c>
      <c r="B380" s="20"/>
      <c r="C380" s="25">
        <v>0</v>
      </c>
      <c r="D380" s="19"/>
      <c r="E380" s="25">
        <v>67143</v>
      </c>
      <c r="F380" s="19"/>
      <c r="G380" s="25">
        <v>0</v>
      </c>
      <c r="H380" s="19"/>
      <c r="I380" s="25">
        <v>0</v>
      </c>
      <c r="J380" s="19"/>
      <c r="K380" s="25">
        <f>IF(SUM(C380:I380)=SUM(M380:Q380),SUM(C380:I380),SUM(M380:Q380)-SUM(C380:I380))</f>
        <v>67143</v>
      </c>
      <c r="L380" s="19"/>
      <c r="M380" s="25">
        <v>30551</v>
      </c>
      <c r="N380" s="19"/>
      <c r="O380" s="25">
        <f>1+22327</f>
        <v>22328</v>
      </c>
      <c r="P380" s="19"/>
      <c r="Q380" s="25">
        <v>14264</v>
      </c>
      <c r="R380" s="6"/>
    </row>
    <row r="381" spans="1:18" s="3" customFormat="1" ht="13.5" customHeight="1">
      <c r="A381" s="19"/>
      <c r="B381" s="20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6"/>
    </row>
    <row r="382" spans="1:18" s="3" customFormat="1" ht="13.5" customHeight="1">
      <c r="A382" s="19" t="s">
        <v>245</v>
      </c>
      <c r="B382" s="20"/>
      <c r="C382" s="22">
        <v>3159</v>
      </c>
      <c r="D382" s="19"/>
      <c r="E382" s="22">
        <v>0</v>
      </c>
      <c r="F382" s="19"/>
      <c r="G382" s="22">
        <v>1735</v>
      </c>
      <c r="H382" s="19"/>
      <c r="I382" s="22">
        <v>0</v>
      </c>
      <c r="J382" s="19"/>
      <c r="K382" s="22">
        <f>IF(SUM(C382:I382)=SUM(M382:Q382),SUM(C382:I382),SUM(M382:Q382)-SUM(C382:I382))</f>
        <v>4894</v>
      </c>
      <c r="L382" s="19"/>
      <c r="M382" s="22">
        <v>2809</v>
      </c>
      <c r="N382" s="19"/>
      <c r="O382" s="22">
        <v>1735</v>
      </c>
      <c r="P382" s="19"/>
      <c r="Q382" s="22">
        <v>350</v>
      </c>
      <c r="R382" s="6"/>
    </row>
    <row r="383" spans="1:18" s="3" customFormat="1" ht="13.5" customHeight="1">
      <c r="A383" s="19"/>
      <c r="B383" s="20" t="s">
        <v>14</v>
      </c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6"/>
    </row>
    <row r="384" spans="1:18" s="3" customFormat="1" ht="13.5" customHeight="1">
      <c r="A384" s="19" t="s">
        <v>73</v>
      </c>
      <c r="B384" s="20" t="s">
        <v>14</v>
      </c>
      <c r="C384" s="22">
        <v>341326</v>
      </c>
      <c r="D384" s="19"/>
      <c r="E384" s="22">
        <v>0</v>
      </c>
      <c r="F384" s="19"/>
      <c r="G384" s="22">
        <v>73980</v>
      </c>
      <c r="H384" s="19"/>
      <c r="I384" s="22">
        <v>-1975</v>
      </c>
      <c r="J384" s="19"/>
      <c r="K384" s="22">
        <f>IF(SUM(C384:I384)=SUM(M384:Q384),SUM(C384:I384),SUM(M384:Q384)-SUM(C384:I384))</f>
        <v>413331</v>
      </c>
      <c r="L384" s="19"/>
      <c r="M384" s="22">
        <v>296918</v>
      </c>
      <c r="N384" s="19"/>
      <c r="O384" s="22">
        <f>1+43772</f>
        <v>43773</v>
      </c>
      <c r="P384" s="19"/>
      <c r="Q384" s="22">
        <v>72640</v>
      </c>
      <c r="R384" s="6"/>
    </row>
    <row r="385" spans="1:18" s="3" customFormat="1" ht="13.5" customHeight="1">
      <c r="A385" s="19"/>
      <c r="B385" s="20" t="s">
        <v>14</v>
      </c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6"/>
    </row>
    <row r="386" spans="1:18" s="3" customFormat="1" ht="13.5" customHeight="1">
      <c r="A386" s="19" t="s">
        <v>107</v>
      </c>
      <c r="B386" s="20" t="s">
        <v>14</v>
      </c>
      <c r="C386" s="22">
        <v>2737526</v>
      </c>
      <c r="D386" s="19"/>
      <c r="E386" s="22">
        <v>-7685</v>
      </c>
      <c r="F386" s="19"/>
      <c r="G386" s="22">
        <v>4990</v>
      </c>
      <c r="H386" s="19"/>
      <c r="I386" s="22">
        <v>0</v>
      </c>
      <c r="J386" s="19"/>
      <c r="K386" s="22">
        <f>IF(SUM(C386:I386)=SUM(M386:Q386),SUM(C386:I386),SUM(M386:Q386)-SUM(C386:I386))</f>
        <v>2734831</v>
      </c>
      <c r="L386" s="19"/>
      <c r="M386" s="22">
        <v>914573</v>
      </c>
      <c r="N386" s="19"/>
      <c r="O386" s="22">
        <v>1820575</v>
      </c>
      <c r="P386" s="19"/>
      <c r="Q386" s="22">
        <v>-317</v>
      </c>
      <c r="R386" s="6"/>
    </row>
    <row r="387" spans="1:18" s="3" customFormat="1" ht="13.5" customHeight="1">
      <c r="A387" s="19"/>
      <c r="B387" s="20"/>
      <c r="C387" s="24"/>
      <c r="D387" s="19"/>
      <c r="E387" s="24"/>
      <c r="F387" s="19"/>
      <c r="G387" s="24"/>
      <c r="H387" s="19"/>
      <c r="I387" s="24"/>
      <c r="J387" s="19"/>
      <c r="K387" s="24"/>
      <c r="L387" s="19"/>
      <c r="M387" s="24"/>
      <c r="N387" s="19"/>
      <c r="O387" s="24"/>
      <c r="P387" s="19"/>
      <c r="Q387" s="24"/>
      <c r="R387" s="6"/>
    </row>
    <row r="388" spans="1:18" s="3" customFormat="1" ht="13.5" customHeight="1">
      <c r="A388" s="19" t="s">
        <v>298</v>
      </c>
      <c r="B388" s="20"/>
      <c r="C388" s="25">
        <v>0</v>
      </c>
      <c r="D388" s="19"/>
      <c r="E388" s="25">
        <v>0</v>
      </c>
      <c r="F388" s="19"/>
      <c r="G388" s="25">
        <v>11682</v>
      </c>
      <c r="H388" s="19"/>
      <c r="I388" s="25">
        <v>0</v>
      </c>
      <c r="J388" s="19"/>
      <c r="K388" s="25">
        <f>IF(SUM(C388:I388)=SUM(M388:Q388),SUM(C388:I388),SUM(M388:Q388)-SUM(C388:I388))</f>
        <v>11682</v>
      </c>
      <c r="L388" s="19"/>
      <c r="M388" s="25">
        <v>1615</v>
      </c>
      <c r="N388" s="19"/>
      <c r="O388" s="25">
        <v>10067</v>
      </c>
      <c r="P388" s="19"/>
      <c r="Q388" s="25">
        <v>0</v>
      </c>
      <c r="R388" s="6"/>
    </row>
    <row r="389" spans="1:18" s="3" customFormat="1" ht="13.5" customHeight="1">
      <c r="A389" s="19"/>
      <c r="B389" s="20"/>
      <c r="C389" s="24"/>
      <c r="D389" s="19"/>
      <c r="E389" s="24"/>
      <c r="F389" s="19"/>
      <c r="G389" s="24"/>
      <c r="H389" s="19"/>
      <c r="I389" s="24"/>
      <c r="J389" s="19"/>
      <c r="K389" s="24"/>
      <c r="L389" s="19"/>
      <c r="M389" s="24"/>
      <c r="N389" s="19"/>
      <c r="O389" s="24"/>
      <c r="P389" s="19"/>
      <c r="Q389" s="24"/>
      <c r="R389" s="6"/>
    </row>
    <row r="390" spans="1:18" s="3" customFormat="1" ht="13.5" customHeight="1">
      <c r="A390" s="19" t="s">
        <v>219</v>
      </c>
      <c r="B390" s="20" t="s">
        <v>14</v>
      </c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6"/>
    </row>
    <row r="391" spans="1:18" s="3" customFormat="1" ht="13.5" customHeight="1">
      <c r="A391" s="19" t="s">
        <v>74</v>
      </c>
      <c r="B391" s="20" t="s">
        <v>14</v>
      </c>
      <c r="C391" s="19">
        <v>0</v>
      </c>
      <c r="D391" s="19"/>
      <c r="E391" s="19">
        <v>0</v>
      </c>
      <c r="F391" s="19"/>
      <c r="G391" s="19">
        <v>0</v>
      </c>
      <c r="H391" s="19"/>
      <c r="I391" s="19">
        <v>2980</v>
      </c>
      <c r="J391" s="19"/>
      <c r="K391" s="19">
        <f>IF(SUM(C391:I391)=SUM(M391:Q391),SUM(C391:I391),SUM(M391:Q391)-SUM(C391:I391))</f>
        <v>2980</v>
      </c>
      <c r="L391" s="19"/>
      <c r="M391" s="19">
        <v>0</v>
      </c>
      <c r="N391" s="19"/>
      <c r="O391" s="19">
        <v>2980</v>
      </c>
      <c r="P391" s="19"/>
      <c r="Q391" s="19">
        <v>0</v>
      </c>
      <c r="R391" s="6"/>
    </row>
    <row r="392" spans="1:18" s="3" customFormat="1" ht="13.5" customHeight="1">
      <c r="A392" s="19" t="s">
        <v>212</v>
      </c>
      <c r="B392" s="20"/>
      <c r="C392" s="19">
        <v>0</v>
      </c>
      <c r="D392" s="19"/>
      <c r="E392" s="19">
        <v>0</v>
      </c>
      <c r="F392" s="19"/>
      <c r="G392" s="19">
        <v>61541</v>
      </c>
      <c r="H392" s="19"/>
      <c r="I392" s="19">
        <v>0</v>
      </c>
      <c r="J392" s="19"/>
      <c r="K392" s="22">
        <f>IF(SUM(C392:I392)=SUM(M392:Q392),SUM(C392:I392),SUM(M392:Q392)-SUM(C392:I392))</f>
        <v>61541</v>
      </c>
      <c r="L392" s="19"/>
      <c r="M392" s="19">
        <v>60300</v>
      </c>
      <c r="N392" s="19"/>
      <c r="O392" s="19">
        <v>1241</v>
      </c>
      <c r="P392" s="19"/>
      <c r="Q392" s="19">
        <v>0</v>
      </c>
      <c r="R392" s="6"/>
    </row>
    <row r="393" spans="1:18" s="3" customFormat="1" ht="13.5" customHeight="1">
      <c r="A393" s="19" t="s">
        <v>161</v>
      </c>
      <c r="B393" s="20" t="s">
        <v>14</v>
      </c>
      <c r="C393" s="23">
        <f>SUM(C391:C392)</f>
        <v>0</v>
      </c>
      <c r="D393" s="19"/>
      <c r="E393" s="23">
        <f>SUM(E391:E392)</f>
        <v>0</v>
      </c>
      <c r="F393" s="19"/>
      <c r="G393" s="23">
        <f>SUM(G391:G392)</f>
        <v>61541</v>
      </c>
      <c r="H393" s="19"/>
      <c r="I393" s="23">
        <f>SUM(I391:I392)</f>
        <v>2980</v>
      </c>
      <c r="J393" s="19"/>
      <c r="K393" s="23">
        <f>IF(SUM(C393:I393)=SUM(M393:Q393),SUM(C393:I393),SUM(M393:Q393)-SUM(C393:I393))</f>
        <v>64521</v>
      </c>
      <c r="L393" s="19"/>
      <c r="M393" s="23">
        <f>SUM(M391:M392)</f>
        <v>60300</v>
      </c>
      <c r="N393" s="19"/>
      <c r="O393" s="23">
        <f>SUM(O391:O392)</f>
        <v>4221</v>
      </c>
      <c r="P393" s="19"/>
      <c r="Q393" s="23">
        <f>SUM(Q391:Q392)</f>
        <v>0</v>
      </c>
      <c r="R393" s="6"/>
    </row>
    <row r="394" spans="1:18" s="3" customFormat="1" ht="12.75" customHeight="1">
      <c r="A394" s="19"/>
      <c r="B394" s="20" t="s">
        <v>14</v>
      </c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6"/>
    </row>
    <row r="395" spans="1:18" s="3" customFormat="1" ht="13.5" customHeight="1">
      <c r="A395" s="24" t="s">
        <v>205</v>
      </c>
      <c r="B395" s="27" t="s">
        <v>14</v>
      </c>
      <c r="C395" s="24"/>
      <c r="D395" s="24"/>
      <c r="E395" s="24"/>
      <c r="F395" s="24"/>
      <c r="G395" s="24"/>
      <c r="H395" s="24"/>
      <c r="I395" s="24"/>
      <c r="J395" s="24"/>
      <c r="K395" s="19"/>
      <c r="L395" s="24"/>
      <c r="M395" s="24"/>
      <c r="N395" s="24"/>
      <c r="O395" s="24"/>
      <c r="P395" s="24"/>
      <c r="Q395" s="24"/>
      <c r="R395" s="6"/>
    </row>
    <row r="396" spans="1:18" s="3" customFormat="1" ht="13.5" customHeight="1">
      <c r="A396" s="19" t="s">
        <v>189</v>
      </c>
      <c r="B396" s="20"/>
      <c r="C396" s="22">
        <v>0</v>
      </c>
      <c r="D396" s="19"/>
      <c r="E396" s="22">
        <v>16513445</v>
      </c>
      <c r="F396" s="19"/>
      <c r="G396" s="22">
        <v>0</v>
      </c>
      <c r="H396" s="19"/>
      <c r="I396" s="22">
        <v>0</v>
      </c>
      <c r="J396" s="19"/>
      <c r="K396" s="22">
        <f>IF(SUM(C396:I396)=SUM(M396:Q396),SUM(C396:I396),SUM(M396:Q396)-SUM(C396:I396))</f>
        <v>16513445</v>
      </c>
      <c r="L396" s="19"/>
      <c r="M396" s="22">
        <v>4870175</v>
      </c>
      <c r="N396" s="19"/>
      <c r="O396" s="22">
        <v>9602517</v>
      </c>
      <c r="P396" s="19"/>
      <c r="Q396" s="22">
        <v>2040753</v>
      </c>
      <c r="R396" s="6"/>
    </row>
    <row r="397" spans="1:18" s="3" customFormat="1" ht="13.5" customHeight="1">
      <c r="A397" s="19"/>
      <c r="B397" s="20" t="s">
        <v>14</v>
      </c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6"/>
    </row>
    <row r="398" spans="1:18" s="3" customFormat="1" ht="13.5" customHeight="1">
      <c r="A398" s="19" t="s">
        <v>274</v>
      </c>
      <c r="B398" s="20" t="s">
        <v>14</v>
      </c>
      <c r="C398" s="22">
        <v>91796</v>
      </c>
      <c r="D398" s="19"/>
      <c r="E398" s="22">
        <v>0</v>
      </c>
      <c r="F398" s="19"/>
      <c r="G398" s="22">
        <v>0</v>
      </c>
      <c r="H398" s="19"/>
      <c r="I398" s="22">
        <v>80519</v>
      </c>
      <c r="J398" s="19"/>
      <c r="K398" s="22">
        <f>IF(SUM(C398:I398)=SUM(M398:Q398),SUM(C398:I398),SUM(M398:Q398)-SUM(C398:I398))</f>
        <v>172315</v>
      </c>
      <c r="L398" s="19"/>
      <c r="M398" s="22">
        <v>54582</v>
      </c>
      <c r="N398" s="19"/>
      <c r="O398" s="22">
        <v>96652</v>
      </c>
      <c r="P398" s="19"/>
      <c r="Q398" s="22">
        <v>21081</v>
      </c>
      <c r="R398" s="6"/>
    </row>
    <row r="399" spans="1:18" s="3" customFormat="1" ht="13.5" customHeight="1">
      <c r="A399" s="19"/>
      <c r="B399" s="20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6"/>
    </row>
    <row r="400" spans="1:18" s="3" customFormat="1" ht="13.5" customHeight="1">
      <c r="A400" s="19" t="s">
        <v>299</v>
      </c>
      <c r="B400" s="20"/>
      <c r="C400" s="25">
        <v>7877</v>
      </c>
      <c r="D400" s="19"/>
      <c r="E400" s="25">
        <v>8897</v>
      </c>
      <c r="F400" s="19"/>
      <c r="G400" s="25">
        <v>0</v>
      </c>
      <c r="H400" s="19"/>
      <c r="I400" s="25">
        <v>0</v>
      </c>
      <c r="J400" s="19"/>
      <c r="K400" s="22">
        <f>IF(SUM(C400:I400)=SUM(M400:Q400),SUM(C400:I400),SUM(M400:Q400)-SUM(C400:I400))</f>
        <v>16774</v>
      </c>
      <c r="L400" s="19"/>
      <c r="M400" s="25">
        <v>0</v>
      </c>
      <c r="N400" s="19"/>
      <c r="O400" s="25">
        <v>15572</v>
      </c>
      <c r="P400" s="19"/>
      <c r="Q400" s="25">
        <v>1202</v>
      </c>
      <c r="R400" s="6"/>
    </row>
    <row r="401" spans="1:18" s="3" customFormat="1" ht="13.5" customHeight="1">
      <c r="A401" s="19"/>
      <c r="B401" s="20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6"/>
    </row>
    <row r="402" spans="1:18" s="3" customFormat="1" ht="13.5" customHeight="1">
      <c r="A402" s="19" t="s">
        <v>300</v>
      </c>
      <c r="B402" s="20"/>
      <c r="C402" s="25">
        <v>34760</v>
      </c>
      <c r="D402" s="19"/>
      <c r="E402" s="25">
        <v>0</v>
      </c>
      <c r="F402" s="19"/>
      <c r="G402" s="25">
        <v>0</v>
      </c>
      <c r="H402" s="19"/>
      <c r="I402" s="25">
        <v>0</v>
      </c>
      <c r="J402" s="19"/>
      <c r="K402" s="22">
        <f>IF(SUM(C402:I402)=SUM(M402:Q402),SUM(C402:I402),SUM(M402:Q402)-SUM(C402:I402))</f>
        <v>34760</v>
      </c>
      <c r="L402" s="19"/>
      <c r="M402" s="25">
        <v>34760</v>
      </c>
      <c r="N402" s="19"/>
      <c r="O402" s="25">
        <v>0</v>
      </c>
      <c r="P402" s="19"/>
      <c r="Q402" s="25">
        <v>0</v>
      </c>
      <c r="R402" s="6"/>
    </row>
    <row r="403" spans="1:18" s="3" customFormat="1" ht="13.5" customHeight="1">
      <c r="A403" s="19"/>
      <c r="B403" s="20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6"/>
    </row>
    <row r="404" spans="1:18" s="3" customFormat="1" ht="13.5" customHeight="1">
      <c r="A404" s="19" t="s">
        <v>76</v>
      </c>
      <c r="B404" s="20" t="s">
        <v>14</v>
      </c>
      <c r="C404" s="22">
        <v>12627</v>
      </c>
      <c r="D404" s="19"/>
      <c r="E404" s="22">
        <v>468983</v>
      </c>
      <c r="F404" s="19"/>
      <c r="G404" s="22">
        <v>21282</v>
      </c>
      <c r="H404" s="19"/>
      <c r="I404" s="22">
        <v>0</v>
      </c>
      <c r="J404" s="19"/>
      <c r="K404" s="22">
        <f>IF(SUM(C404:I404)=SUM(M404:Q404),SUM(C404:I404),SUM(M404:Q404)-SUM(C404:I404))</f>
        <v>502892</v>
      </c>
      <c r="L404" s="19"/>
      <c r="M404" s="22">
        <v>117595</v>
      </c>
      <c r="N404" s="19"/>
      <c r="O404" s="22">
        <f>1+266991</f>
        <v>266992</v>
      </c>
      <c r="P404" s="19"/>
      <c r="Q404" s="22">
        <v>118305</v>
      </c>
      <c r="R404" s="6"/>
    </row>
    <row r="405" spans="1:18" s="3" customFormat="1" ht="13.5" customHeight="1">
      <c r="A405" s="19"/>
      <c r="B405" s="20"/>
      <c r="C405" s="24"/>
      <c r="D405" s="19"/>
      <c r="E405" s="24"/>
      <c r="F405" s="19"/>
      <c r="G405" s="24"/>
      <c r="H405" s="19"/>
      <c r="I405" s="24"/>
      <c r="J405" s="19"/>
      <c r="K405" s="19"/>
      <c r="L405" s="19"/>
      <c r="M405" s="24"/>
      <c r="N405" s="19"/>
      <c r="O405" s="24"/>
      <c r="P405" s="19"/>
      <c r="Q405" s="24"/>
      <c r="R405" s="6"/>
    </row>
    <row r="406" spans="1:18" s="3" customFormat="1" ht="13.5" customHeight="1">
      <c r="A406" s="19" t="s">
        <v>301</v>
      </c>
      <c r="B406" s="20"/>
      <c r="C406" s="22">
        <v>0</v>
      </c>
      <c r="D406" s="19"/>
      <c r="E406" s="22">
        <v>0</v>
      </c>
      <c r="F406" s="19"/>
      <c r="G406" s="22">
        <v>7979</v>
      </c>
      <c r="H406" s="19"/>
      <c r="I406" s="22">
        <v>0</v>
      </c>
      <c r="J406" s="19"/>
      <c r="K406" s="22">
        <f>IF(SUM(C406:I406)=SUM(M406:Q406),SUM(C406:I406),SUM(M406:Q406)-SUM(C406:I406))</f>
        <v>7979</v>
      </c>
      <c r="L406" s="19"/>
      <c r="M406" s="22">
        <v>0</v>
      </c>
      <c r="N406" s="19"/>
      <c r="O406" s="22">
        <v>7979</v>
      </c>
      <c r="P406" s="19"/>
      <c r="Q406" s="22">
        <v>0</v>
      </c>
      <c r="R406" s="6"/>
    </row>
    <row r="407" spans="1:18" s="3" customFormat="1" ht="13.5" customHeight="1">
      <c r="A407" s="19"/>
      <c r="B407" s="20"/>
      <c r="C407" s="24"/>
      <c r="D407" s="19"/>
      <c r="E407" s="24"/>
      <c r="F407" s="19"/>
      <c r="G407" s="24"/>
      <c r="H407" s="19"/>
      <c r="I407" s="24"/>
      <c r="J407" s="19"/>
      <c r="K407" s="19"/>
      <c r="L407" s="19"/>
      <c r="M407" s="24"/>
      <c r="N407" s="19"/>
      <c r="O407" s="24"/>
      <c r="P407" s="19"/>
      <c r="Q407" s="24"/>
      <c r="R407" s="6"/>
    </row>
    <row r="408" spans="1:18" s="3" customFormat="1" ht="13.5" customHeight="1">
      <c r="A408" s="19" t="s">
        <v>213</v>
      </c>
      <c r="B408" s="20"/>
      <c r="C408" s="22">
        <v>-250</v>
      </c>
      <c r="D408" s="19"/>
      <c r="E408" s="22">
        <v>0</v>
      </c>
      <c r="F408" s="19"/>
      <c r="G408" s="22">
        <v>0</v>
      </c>
      <c r="H408" s="19"/>
      <c r="I408" s="22">
        <v>0</v>
      </c>
      <c r="J408" s="19"/>
      <c r="K408" s="22">
        <f>IF(SUM(C408:I408)=SUM(M408:Q408),SUM(C408:I408),SUM(M408:Q408)-SUM(C408:I408))</f>
        <v>-250</v>
      </c>
      <c r="L408" s="19"/>
      <c r="M408" s="22">
        <v>0</v>
      </c>
      <c r="N408" s="19"/>
      <c r="O408" s="22">
        <v>-250</v>
      </c>
      <c r="P408" s="19"/>
      <c r="Q408" s="22">
        <v>0</v>
      </c>
      <c r="R408" s="6"/>
    </row>
    <row r="409" spans="1:18" s="3" customFormat="1" ht="13.5" customHeight="1">
      <c r="A409" s="19"/>
      <c r="B409" s="20"/>
      <c r="C409" s="24"/>
      <c r="D409" s="19"/>
      <c r="E409" s="24"/>
      <c r="F409" s="19"/>
      <c r="G409" s="24"/>
      <c r="H409" s="19"/>
      <c r="I409" s="24"/>
      <c r="J409" s="19"/>
      <c r="K409" s="24"/>
      <c r="L409" s="19"/>
      <c r="M409" s="24"/>
      <c r="N409" s="19"/>
      <c r="O409" s="24"/>
      <c r="P409" s="19"/>
      <c r="Q409" s="24"/>
      <c r="R409" s="6"/>
    </row>
    <row r="410" spans="1:18" s="3" customFormat="1" ht="13.5" customHeight="1">
      <c r="A410" s="19" t="s">
        <v>268</v>
      </c>
      <c r="B410" s="20"/>
      <c r="C410" s="25">
        <v>0</v>
      </c>
      <c r="D410" s="19"/>
      <c r="E410" s="25">
        <v>0</v>
      </c>
      <c r="F410" s="19"/>
      <c r="G410" s="25">
        <v>8000</v>
      </c>
      <c r="H410" s="19"/>
      <c r="I410" s="25">
        <v>0</v>
      </c>
      <c r="J410" s="19"/>
      <c r="K410" s="25">
        <f>IF(SUM(C410:I410)=SUM(M410:Q410),SUM(C410:I410),SUM(M410:Q410)-SUM(C410:I410))</f>
        <v>8000</v>
      </c>
      <c r="L410" s="19"/>
      <c r="M410" s="25">
        <v>0</v>
      </c>
      <c r="N410" s="19"/>
      <c r="O410" s="25">
        <v>8000</v>
      </c>
      <c r="P410" s="19"/>
      <c r="Q410" s="25">
        <v>0</v>
      </c>
      <c r="R410" s="6"/>
    </row>
    <row r="411" spans="1:18" s="3" customFormat="1" ht="13.5" customHeight="1">
      <c r="A411" s="19"/>
      <c r="B411" s="20"/>
      <c r="C411" s="24"/>
      <c r="D411" s="19"/>
      <c r="E411" s="24"/>
      <c r="F411" s="19"/>
      <c r="G411" s="24"/>
      <c r="H411" s="19"/>
      <c r="I411" s="24"/>
      <c r="J411" s="19"/>
      <c r="K411" s="24"/>
      <c r="L411" s="19"/>
      <c r="M411" s="24"/>
      <c r="N411" s="19"/>
      <c r="O411" s="24"/>
      <c r="P411" s="19"/>
      <c r="Q411" s="24"/>
      <c r="R411" s="6"/>
    </row>
    <row r="412" spans="1:18" s="3" customFormat="1" ht="13.5" customHeight="1">
      <c r="A412" s="19" t="s">
        <v>23</v>
      </c>
      <c r="B412" s="20" t="s">
        <v>14</v>
      </c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 t="s">
        <v>15</v>
      </c>
      <c r="N412" s="19"/>
      <c r="O412" s="19" t="s">
        <v>15</v>
      </c>
      <c r="P412" s="19"/>
      <c r="Q412" s="19" t="s">
        <v>15</v>
      </c>
      <c r="R412" s="6"/>
    </row>
    <row r="413" spans="1:18" s="3" customFormat="1" ht="13.5" customHeight="1">
      <c r="A413" s="19" t="s">
        <v>80</v>
      </c>
      <c r="B413" s="20"/>
      <c r="C413" s="19">
        <v>0</v>
      </c>
      <c r="D413" s="19"/>
      <c r="E413" s="19">
        <v>0</v>
      </c>
      <c r="F413" s="19"/>
      <c r="G413" s="19">
        <v>229091</v>
      </c>
      <c r="H413" s="19"/>
      <c r="I413" s="19">
        <v>0</v>
      </c>
      <c r="J413" s="19"/>
      <c r="K413" s="19">
        <f aca="true" t="shared" si="7" ref="K413:K418">IF(SUM(C413:I413)=SUM(M413:Q413),SUM(C413:I413),SUM(M413:Q413)-SUM(C413:I413))</f>
        <v>229091</v>
      </c>
      <c r="L413" s="19"/>
      <c r="M413" s="19">
        <v>146190</v>
      </c>
      <c r="N413" s="19"/>
      <c r="O413" s="19">
        <v>53685</v>
      </c>
      <c r="P413" s="19"/>
      <c r="Q413" s="19">
        <v>29216</v>
      </c>
      <c r="R413" s="6"/>
    </row>
    <row r="414" spans="1:18" s="3" customFormat="1" ht="13.5" customHeight="1">
      <c r="A414" s="19" t="s">
        <v>108</v>
      </c>
      <c r="B414" s="20" t="s">
        <v>14</v>
      </c>
      <c r="C414" s="19">
        <v>1745150</v>
      </c>
      <c r="D414" s="19"/>
      <c r="E414" s="19">
        <v>0</v>
      </c>
      <c r="F414" s="19"/>
      <c r="G414" s="19">
        <v>0</v>
      </c>
      <c r="H414" s="19"/>
      <c r="I414" s="19">
        <v>0</v>
      </c>
      <c r="J414" s="19"/>
      <c r="K414" s="19">
        <f t="shared" si="7"/>
        <v>1745150</v>
      </c>
      <c r="L414" s="19"/>
      <c r="M414" s="19">
        <v>473963</v>
      </c>
      <c r="N414" s="19"/>
      <c r="O414" s="19">
        <v>1271182</v>
      </c>
      <c r="P414" s="19"/>
      <c r="Q414" s="19">
        <v>5</v>
      </c>
      <c r="R414" s="6"/>
    </row>
    <row r="415" spans="1:18" s="3" customFormat="1" ht="13.5" customHeight="1">
      <c r="A415" s="19" t="s">
        <v>105</v>
      </c>
      <c r="B415" s="20" t="s">
        <v>14</v>
      </c>
      <c r="C415" s="19">
        <v>0</v>
      </c>
      <c r="D415" s="19"/>
      <c r="E415" s="19">
        <v>428256</v>
      </c>
      <c r="F415" s="19"/>
      <c r="G415" s="19">
        <v>41002</v>
      </c>
      <c r="H415" s="19"/>
      <c r="I415" s="19">
        <v>0</v>
      </c>
      <c r="J415" s="19"/>
      <c r="K415" s="19">
        <f t="shared" si="7"/>
        <v>469258</v>
      </c>
      <c r="L415" s="19"/>
      <c r="M415" s="19">
        <v>308044</v>
      </c>
      <c r="N415" s="19"/>
      <c r="O415" s="19">
        <v>155257</v>
      </c>
      <c r="P415" s="19"/>
      <c r="Q415" s="19">
        <v>5957</v>
      </c>
      <c r="R415" s="6"/>
    </row>
    <row r="416" spans="1:18" s="3" customFormat="1" ht="13.5" customHeight="1">
      <c r="A416" s="19" t="s">
        <v>38</v>
      </c>
      <c r="B416" s="20" t="s">
        <v>14</v>
      </c>
      <c r="C416" s="19">
        <v>0</v>
      </c>
      <c r="D416" s="19"/>
      <c r="E416" s="19">
        <v>0</v>
      </c>
      <c r="F416" s="19"/>
      <c r="G416" s="19">
        <v>95</v>
      </c>
      <c r="H416" s="19"/>
      <c r="I416" s="19">
        <v>0</v>
      </c>
      <c r="J416" s="19"/>
      <c r="K416" s="19">
        <f t="shared" si="7"/>
        <v>95</v>
      </c>
      <c r="L416" s="19"/>
      <c r="M416" s="19">
        <v>0</v>
      </c>
      <c r="N416" s="19"/>
      <c r="O416" s="19">
        <v>95</v>
      </c>
      <c r="P416" s="19"/>
      <c r="Q416" s="19">
        <v>0</v>
      </c>
      <c r="R416" s="6"/>
    </row>
    <row r="417" spans="1:18" s="3" customFormat="1" ht="13.5" customHeight="1">
      <c r="A417" s="19" t="s">
        <v>141</v>
      </c>
      <c r="B417" s="20"/>
      <c r="C417" s="25">
        <v>45309</v>
      </c>
      <c r="D417" s="19"/>
      <c r="E417" s="25">
        <v>0</v>
      </c>
      <c r="F417" s="19"/>
      <c r="G417" s="25">
        <v>0</v>
      </c>
      <c r="H417" s="19"/>
      <c r="I417" s="25">
        <v>0</v>
      </c>
      <c r="J417" s="19"/>
      <c r="K417" s="19">
        <f t="shared" si="7"/>
        <v>45309</v>
      </c>
      <c r="L417" s="19"/>
      <c r="M417" s="25">
        <v>26282</v>
      </c>
      <c r="N417" s="19"/>
      <c r="O417" s="25">
        <v>19027</v>
      </c>
      <c r="P417" s="19"/>
      <c r="Q417" s="25">
        <v>0</v>
      </c>
      <c r="R417" s="6"/>
    </row>
    <row r="418" spans="1:18" s="3" customFormat="1" ht="13.5" customHeight="1">
      <c r="A418" s="19" t="s">
        <v>162</v>
      </c>
      <c r="B418" s="20" t="s">
        <v>14</v>
      </c>
      <c r="C418" s="22">
        <f>SUM(C413:C417)</f>
        <v>1790459</v>
      </c>
      <c r="D418" s="19"/>
      <c r="E418" s="22">
        <f>SUM(E413:E417)</f>
        <v>428256</v>
      </c>
      <c r="F418" s="19"/>
      <c r="G418" s="22">
        <f>SUM(G413:G417)</f>
        <v>270188</v>
      </c>
      <c r="H418" s="19"/>
      <c r="I418" s="22">
        <f>SUM(I413:I417)</f>
        <v>0</v>
      </c>
      <c r="J418" s="19"/>
      <c r="K418" s="23">
        <f t="shared" si="7"/>
        <v>2488903</v>
      </c>
      <c r="L418" s="19"/>
      <c r="M418" s="22">
        <f>SUM(M413:M417)</f>
        <v>954479</v>
      </c>
      <c r="N418" s="19"/>
      <c r="O418" s="22">
        <f>SUM(O413:O417)</f>
        <v>1499246</v>
      </c>
      <c r="P418" s="19"/>
      <c r="Q418" s="22">
        <f>SUM(Q413:Q417)</f>
        <v>35178</v>
      </c>
      <c r="R418" s="6"/>
    </row>
    <row r="419" spans="1:18" s="3" customFormat="1" ht="13.5" customHeight="1">
      <c r="A419" s="19"/>
      <c r="B419" s="20"/>
      <c r="C419" s="24"/>
      <c r="D419" s="19"/>
      <c r="E419" s="24"/>
      <c r="F419" s="19"/>
      <c r="G419" s="24"/>
      <c r="H419" s="19"/>
      <c r="I419" s="24"/>
      <c r="J419" s="19"/>
      <c r="K419" s="24"/>
      <c r="L419" s="19"/>
      <c r="M419" s="24"/>
      <c r="N419" s="19"/>
      <c r="O419" s="24"/>
      <c r="P419" s="19"/>
      <c r="Q419" s="24"/>
      <c r="R419" s="6"/>
    </row>
    <row r="420" spans="1:18" s="3" customFormat="1" ht="13.5" customHeight="1">
      <c r="A420" s="19" t="s">
        <v>302</v>
      </c>
      <c r="B420" s="20"/>
      <c r="C420" s="25">
        <v>0</v>
      </c>
      <c r="D420" s="19"/>
      <c r="E420" s="25">
        <v>0</v>
      </c>
      <c r="F420" s="19"/>
      <c r="G420" s="25">
        <v>755</v>
      </c>
      <c r="H420" s="19"/>
      <c r="I420" s="25">
        <v>0</v>
      </c>
      <c r="J420" s="19"/>
      <c r="K420" s="22">
        <f>IF(SUM(C420:I420)=SUM(M420:Q420),SUM(C420:I420),SUM(M420:Q420)-SUM(C420:I420))</f>
        <v>755</v>
      </c>
      <c r="L420" s="19"/>
      <c r="M420" s="25">
        <v>0</v>
      </c>
      <c r="N420" s="19"/>
      <c r="O420" s="25">
        <v>754</v>
      </c>
      <c r="P420" s="19"/>
      <c r="Q420" s="25">
        <v>1</v>
      </c>
      <c r="R420" s="6"/>
    </row>
    <row r="421" spans="1:18" s="3" customFormat="1" ht="13.5" customHeight="1">
      <c r="A421" s="19"/>
      <c r="B421" s="20"/>
      <c r="C421" s="24"/>
      <c r="D421" s="19"/>
      <c r="E421" s="24"/>
      <c r="F421" s="19"/>
      <c r="G421" s="24"/>
      <c r="H421" s="19"/>
      <c r="I421" s="24"/>
      <c r="J421" s="19"/>
      <c r="K421" s="19"/>
      <c r="L421" s="19"/>
      <c r="M421" s="24"/>
      <c r="N421" s="19"/>
      <c r="O421" s="24"/>
      <c r="P421" s="19"/>
      <c r="Q421" s="24"/>
      <c r="R421" s="6" t="s">
        <v>15</v>
      </c>
    </row>
    <row r="422" spans="1:18" s="3" customFormat="1" ht="13.5" customHeight="1">
      <c r="A422" s="19" t="s">
        <v>231</v>
      </c>
      <c r="B422" s="20"/>
      <c r="C422" s="22">
        <v>-175494</v>
      </c>
      <c r="D422" s="19"/>
      <c r="E422" s="22">
        <v>0</v>
      </c>
      <c r="F422" s="19"/>
      <c r="G422" s="22">
        <v>0</v>
      </c>
      <c r="H422" s="19"/>
      <c r="I422" s="22">
        <v>0</v>
      </c>
      <c r="J422" s="19"/>
      <c r="K422" s="22">
        <f>IF(SUM(C422:I422)=SUM(M422:Q422),SUM(C422:I422),SUM(M422:Q422)-SUM(C422:I422))</f>
        <v>-175494</v>
      </c>
      <c r="L422" s="19"/>
      <c r="M422" s="22">
        <v>-14</v>
      </c>
      <c r="N422" s="19"/>
      <c r="O422" s="22">
        <f>-204176-1</f>
        <v>-204177</v>
      </c>
      <c r="P422" s="19"/>
      <c r="Q422" s="22">
        <v>28697</v>
      </c>
      <c r="R422" s="6"/>
    </row>
    <row r="423" spans="1:18" s="3" customFormat="1" ht="13.5" customHeight="1">
      <c r="A423" s="19"/>
      <c r="B423" s="20" t="s">
        <v>14</v>
      </c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6"/>
    </row>
    <row r="424" spans="1:18" s="3" customFormat="1" ht="13.5" customHeight="1">
      <c r="A424" s="19" t="s">
        <v>163</v>
      </c>
      <c r="B424" s="20" t="s">
        <v>14</v>
      </c>
      <c r="C424" s="22">
        <f>C298+C318+C324+C334+C336+C338+C308+C357+C420+C363+C372+C374+C376+C382+C388+C396+C400+C402+C410+C384+C386+C393+C404+C406+C408+C418+C350+C342+C303+C340+C422+C378+C398+C380+C355</f>
        <v>10334543</v>
      </c>
      <c r="D424" s="36"/>
      <c r="E424" s="22">
        <f>E298+E318+E324+E334+E336+E338+E308+E357+E420+E363+E372+E374+E376+E382+E388+E396+E400+E402+E410+E384+E386+E393+E404+E406+E408+E418+E350+E342+E303+E340+E422+E378+E398+E380+E355</f>
        <v>21010545</v>
      </c>
      <c r="F424" s="36"/>
      <c r="G424" s="22">
        <f>G298+G318+G324+G334+G336+G338+G308+G357+G420+G363+G372+G374+G376+G382+G388+G396+G400+G402+G410+G384+G386+G393+G404+G406+G408+G418+G350+G342+G303+G340+G422+G378+G398+G380+G355</f>
        <v>1985821</v>
      </c>
      <c r="H424" s="36"/>
      <c r="I424" s="22">
        <f>I298+I318+I324+I334+I336+I338+I308+I357+I420+I363+I372+I374+I376+I382+I388+I396+I400+I402+I410+I384+I386+I393+I404+I406+I408+I418+I350+I342+I303+I340+I422+I378+I398+I380+I355</f>
        <v>2139169</v>
      </c>
      <c r="J424" s="36"/>
      <c r="K424" s="22">
        <f>IF(SUM(C424:I424)=SUM(M424:Q424),SUM(C424:I424),SUM(M424:Q424)-SUM(C424:I424))</f>
        <v>35470078</v>
      </c>
      <c r="L424" s="36"/>
      <c r="M424" s="22">
        <f>M298+M318+M324+M334+M336+M338+M308+M357+M420+M363+M372+M374+M376+M382+M388+M396+M400+M402+M410+M384+M386+M393+M404+M406+M408+M418+M350+M342+M303+M340+M422+M378+M398+M380+M355</f>
        <v>16221582</v>
      </c>
      <c r="N424" s="36"/>
      <c r="O424" s="22">
        <f>O298+O318+O324+O334+O336+O338+O308+O357+O420+O363+O372+O374+O376+O382+O388+O396+O400+O402+O410+O384+O386+O393+O404+O406+O408+O418+O350+O342+O303+O340+O422+O378+O398+O380+O355</f>
        <v>15865380</v>
      </c>
      <c r="P424" s="36"/>
      <c r="Q424" s="22">
        <f>Q298+Q318+Q324+Q334+Q336+Q338+Q308+Q357+Q420+Q363+Q372+Q374+Q376+Q382+Q388+Q396+Q400+Q402+Q410+Q384+Q386+Q393+Q404+Q406+Q408+Q418+Q350+Q342+Q303+Q340+Q422+Q378+Q398+Q380+Q355</f>
        <v>3383116</v>
      </c>
      <c r="R424" s="6"/>
    </row>
    <row r="425" spans="1:18" s="3" customFormat="1" ht="13.5" customHeight="1">
      <c r="A425" s="19"/>
      <c r="B425" s="20" t="s">
        <v>14</v>
      </c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6"/>
    </row>
    <row r="426" spans="1:18" s="3" customFormat="1" ht="13.5" customHeight="1">
      <c r="A426" s="19" t="s">
        <v>201</v>
      </c>
      <c r="B426" s="20" t="s">
        <v>14</v>
      </c>
      <c r="C426" s="19" t="s">
        <v>14</v>
      </c>
      <c r="D426" s="19"/>
      <c r="E426" s="19" t="s">
        <v>14</v>
      </c>
      <c r="F426" s="19"/>
      <c r="G426" s="19" t="s">
        <v>14</v>
      </c>
      <c r="H426" s="19"/>
      <c r="I426" s="19" t="s">
        <v>14</v>
      </c>
      <c r="J426" s="19"/>
      <c r="K426" s="19"/>
      <c r="L426" s="19"/>
      <c r="M426" s="19"/>
      <c r="N426" s="19"/>
      <c r="O426" s="19"/>
      <c r="P426" s="19"/>
      <c r="Q426" s="19"/>
      <c r="R426" s="6"/>
    </row>
    <row r="427" spans="1:18" s="3" customFormat="1" ht="13.5" customHeight="1">
      <c r="A427" s="19" t="s">
        <v>253</v>
      </c>
      <c r="B427" s="20"/>
      <c r="C427" s="25">
        <v>0</v>
      </c>
      <c r="D427" s="19"/>
      <c r="E427" s="25">
        <v>19251</v>
      </c>
      <c r="F427" s="19"/>
      <c r="G427" s="25">
        <v>0</v>
      </c>
      <c r="H427" s="19"/>
      <c r="I427" s="25">
        <v>2203477</v>
      </c>
      <c r="J427" s="19"/>
      <c r="K427" s="25">
        <f aca="true" t="shared" si="8" ref="K427:K480">IF(SUM(C427:I427)=SUM(M427:Q427),SUM(C427:I427),SUM(M427:Q427)-SUM(C427:I427))</f>
        <v>2222728</v>
      </c>
      <c r="L427" s="19"/>
      <c r="M427" s="25">
        <v>215282</v>
      </c>
      <c r="N427" s="19"/>
      <c r="O427" s="25">
        <v>2006243</v>
      </c>
      <c r="P427" s="19"/>
      <c r="Q427" s="25">
        <v>1203</v>
      </c>
      <c r="R427" s="6"/>
    </row>
    <row r="428" spans="1:18" s="3" customFormat="1" ht="13.5" customHeight="1">
      <c r="A428" s="19" t="s">
        <v>24</v>
      </c>
      <c r="B428" s="20" t="s">
        <v>14</v>
      </c>
      <c r="C428" s="19"/>
      <c r="D428" s="19"/>
      <c r="E428" s="19"/>
      <c r="F428" s="19"/>
      <c r="G428" s="26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6"/>
    </row>
    <row r="429" spans="1:18" s="3" customFormat="1" ht="13.5" customHeight="1">
      <c r="A429" s="19" t="s">
        <v>109</v>
      </c>
      <c r="B429" s="20" t="s">
        <v>14</v>
      </c>
      <c r="C429" s="19">
        <v>0</v>
      </c>
      <c r="D429" s="19"/>
      <c r="E429" s="19">
        <v>102100</v>
      </c>
      <c r="F429" s="19"/>
      <c r="G429" s="19">
        <v>246285</v>
      </c>
      <c r="H429" s="19"/>
      <c r="I429" s="19">
        <v>1189071</v>
      </c>
      <c r="J429" s="19"/>
      <c r="K429" s="19">
        <f t="shared" si="8"/>
        <v>1537456</v>
      </c>
      <c r="L429" s="19"/>
      <c r="M429" s="19">
        <v>87224</v>
      </c>
      <c r="N429" s="19"/>
      <c r="O429" s="19">
        <v>1423206</v>
      </c>
      <c r="P429" s="19"/>
      <c r="Q429" s="19">
        <v>27026</v>
      </c>
      <c r="R429" s="6"/>
    </row>
    <row r="430" spans="1:18" s="3" customFormat="1" ht="13.5" customHeight="1">
      <c r="A430" s="19" t="s">
        <v>110</v>
      </c>
      <c r="B430" s="20" t="s">
        <v>14</v>
      </c>
      <c r="C430" s="22">
        <v>0</v>
      </c>
      <c r="D430" s="19"/>
      <c r="E430" s="22">
        <v>0</v>
      </c>
      <c r="F430" s="19"/>
      <c r="G430" s="22">
        <v>22180</v>
      </c>
      <c r="H430" s="19"/>
      <c r="I430" s="22">
        <v>0</v>
      </c>
      <c r="J430" s="19"/>
      <c r="K430" s="22">
        <f t="shared" si="8"/>
        <v>22180</v>
      </c>
      <c r="L430" s="19"/>
      <c r="M430" s="22">
        <v>17214</v>
      </c>
      <c r="N430" s="19"/>
      <c r="O430" s="22">
        <f>4967-1</f>
        <v>4966</v>
      </c>
      <c r="P430" s="19"/>
      <c r="Q430" s="22">
        <v>0</v>
      </c>
      <c r="R430" s="6"/>
    </row>
    <row r="431" spans="1:18" s="3" customFormat="1" ht="13.5" customHeight="1">
      <c r="A431" s="19" t="s">
        <v>164</v>
      </c>
      <c r="B431" s="20" t="s">
        <v>14</v>
      </c>
      <c r="C431" s="22">
        <f>SUM(C429:C430)</f>
        <v>0</v>
      </c>
      <c r="D431" s="19"/>
      <c r="E431" s="22">
        <f>SUM(E429:E430)</f>
        <v>102100</v>
      </c>
      <c r="F431" s="19"/>
      <c r="G431" s="22">
        <f>SUM(G429:G430)</f>
        <v>268465</v>
      </c>
      <c r="H431" s="19"/>
      <c r="I431" s="22">
        <f>SUM(I429:I430)</f>
        <v>1189071</v>
      </c>
      <c r="J431" s="19"/>
      <c r="K431" s="23">
        <f t="shared" si="8"/>
        <v>1559636</v>
      </c>
      <c r="L431" s="19"/>
      <c r="M431" s="22">
        <f>SUM(M429:M430)</f>
        <v>104438</v>
      </c>
      <c r="N431" s="19"/>
      <c r="O431" s="22">
        <f>SUM(O429:O430)</f>
        <v>1428172</v>
      </c>
      <c r="P431" s="19"/>
      <c r="Q431" s="22">
        <f>SUM(Q429:Q430)</f>
        <v>27026</v>
      </c>
      <c r="R431" s="6"/>
    </row>
    <row r="432" spans="1:18" s="3" customFormat="1" ht="13.5" customHeight="1">
      <c r="A432" s="19"/>
      <c r="B432" s="20" t="s">
        <v>14</v>
      </c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6"/>
    </row>
    <row r="433" spans="1:18" s="3" customFormat="1" ht="13.5" customHeight="1">
      <c r="A433" s="19" t="s">
        <v>202</v>
      </c>
      <c r="B433" s="20"/>
      <c r="C433" s="22">
        <v>0</v>
      </c>
      <c r="D433" s="19"/>
      <c r="E433" s="22">
        <v>0</v>
      </c>
      <c r="F433" s="19"/>
      <c r="G433" s="22">
        <v>119324</v>
      </c>
      <c r="H433" s="19"/>
      <c r="I433" s="22">
        <v>233664</v>
      </c>
      <c r="J433" s="19"/>
      <c r="K433" s="22">
        <f t="shared" si="8"/>
        <v>352988</v>
      </c>
      <c r="L433" s="19"/>
      <c r="M433" s="22">
        <v>79883</v>
      </c>
      <c r="N433" s="19"/>
      <c r="O433" s="22">
        <v>273105</v>
      </c>
      <c r="P433" s="19"/>
      <c r="Q433" s="22">
        <v>0</v>
      </c>
      <c r="R433" s="6"/>
    </row>
    <row r="434" spans="1:18" s="3" customFormat="1" ht="13.5" customHeight="1">
      <c r="A434" s="19"/>
      <c r="B434" s="20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6"/>
    </row>
    <row r="435" spans="1:18" s="3" customFormat="1" ht="13.5" customHeight="1">
      <c r="A435" s="19" t="s">
        <v>25</v>
      </c>
      <c r="B435" s="20" t="s">
        <v>14</v>
      </c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6"/>
    </row>
    <row r="436" spans="1:18" s="3" customFormat="1" ht="13.5" customHeight="1">
      <c r="A436" s="19" t="s">
        <v>111</v>
      </c>
      <c r="B436" s="20" t="s">
        <v>14</v>
      </c>
      <c r="C436" s="19">
        <v>0</v>
      </c>
      <c r="D436" s="19"/>
      <c r="E436" s="19">
        <v>0</v>
      </c>
      <c r="F436" s="19"/>
      <c r="G436" s="19">
        <v>157402</v>
      </c>
      <c r="H436" s="19"/>
      <c r="I436" s="19">
        <v>284293</v>
      </c>
      <c r="J436" s="19"/>
      <c r="K436" s="19">
        <f t="shared" si="8"/>
        <v>441695</v>
      </c>
      <c r="L436" s="19"/>
      <c r="M436" s="19">
        <v>166198</v>
      </c>
      <c r="N436" s="19"/>
      <c r="O436" s="19">
        <v>275497</v>
      </c>
      <c r="P436" s="19"/>
      <c r="Q436" s="19">
        <v>0</v>
      </c>
      <c r="R436" s="6"/>
    </row>
    <row r="437" spans="1:18" s="3" customFormat="1" ht="13.5" customHeight="1">
      <c r="A437" s="19" t="s">
        <v>112</v>
      </c>
      <c r="B437" s="20" t="s">
        <v>14</v>
      </c>
      <c r="C437" s="22">
        <v>0</v>
      </c>
      <c r="D437" s="19"/>
      <c r="E437" s="22">
        <v>0</v>
      </c>
      <c r="F437" s="19"/>
      <c r="G437" s="22">
        <v>23712</v>
      </c>
      <c r="H437" s="19"/>
      <c r="I437" s="22">
        <v>1830</v>
      </c>
      <c r="J437" s="19"/>
      <c r="K437" s="22">
        <f t="shared" si="8"/>
        <v>25542</v>
      </c>
      <c r="L437" s="19"/>
      <c r="M437" s="22">
        <v>13834</v>
      </c>
      <c r="N437" s="19"/>
      <c r="O437" s="22">
        <f>1+11707</f>
        <v>11708</v>
      </c>
      <c r="P437" s="19"/>
      <c r="Q437" s="22">
        <v>0</v>
      </c>
      <c r="R437" s="6"/>
    </row>
    <row r="438" spans="1:18" s="3" customFormat="1" ht="13.5" customHeight="1">
      <c r="A438" s="19" t="s">
        <v>165</v>
      </c>
      <c r="B438" s="20" t="s">
        <v>14</v>
      </c>
      <c r="C438" s="22">
        <f>SUM(C436:C437)</f>
        <v>0</v>
      </c>
      <c r="D438" s="19"/>
      <c r="E438" s="22">
        <f>SUM(E436:E437)</f>
        <v>0</v>
      </c>
      <c r="F438" s="19"/>
      <c r="G438" s="22">
        <f>SUM(G436:G437)</f>
        <v>181114</v>
      </c>
      <c r="H438" s="19"/>
      <c r="I438" s="22">
        <f>SUM(I436:I437)</f>
        <v>286123</v>
      </c>
      <c r="J438" s="19"/>
      <c r="K438" s="23">
        <f t="shared" si="8"/>
        <v>467237</v>
      </c>
      <c r="L438" s="19"/>
      <c r="M438" s="22">
        <f>SUM(M436:M437)</f>
        <v>180032</v>
      </c>
      <c r="N438" s="19"/>
      <c r="O438" s="22">
        <f>SUM(O436:O437)</f>
        <v>287205</v>
      </c>
      <c r="P438" s="19"/>
      <c r="Q438" s="22">
        <f>SUM(Q436:Q437)</f>
        <v>0</v>
      </c>
      <c r="R438" s="6"/>
    </row>
    <row r="439" spans="1:18" s="3" customFormat="1" ht="13.5" customHeight="1">
      <c r="A439" s="19"/>
      <c r="B439" s="20" t="s">
        <v>14</v>
      </c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6"/>
    </row>
    <row r="440" spans="1:18" s="3" customFormat="1" ht="13.5" customHeight="1">
      <c r="A440" s="19" t="s">
        <v>215</v>
      </c>
      <c r="B440" s="20"/>
      <c r="C440" s="22">
        <v>0</v>
      </c>
      <c r="D440" s="19"/>
      <c r="E440" s="22">
        <v>24779</v>
      </c>
      <c r="F440" s="19"/>
      <c r="G440" s="22">
        <v>43054</v>
      </c>
      <c r="H440" s="19"/>
      <c r="I440" s="22">
        <v>18408</v>
      </c>
      <c r="J440" s="19"/>
      <c r="K440" s="22">
        <f t="shared" si="8"/>
        <v>86241</v>
      </c>
      <c r="L440" s="19"/>
      <c r="M440" s="22">
        <v>32339</v>
      </c>
      <c r="N440" s="19"/>
      <c r="O440" s="22">
        <f>52354-1</f>
        <v>52353</v>
      </c>
      <c r="P440" s="19"/>
      <c r="Q440" s="22">
        <v>1549</v>
      </c>
      <c r="R440" s="6"/>
    </row>
    <row r="441" spans="1:18" s="3" customFormat="1" ht="13.5" customHeight="1">
      <c r="A441" s="19"/>
      <c r="B441" s="20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6"/>
    </row>
    <row r="442" spans="1:18" s="3" customFormat="1" ht="13.5" customHeight="1">
      <c r="A442" s="19" t="s">
        <v>282</v>
      </c>
      <c r="B442" s="20" t="s">
        <v>14</v>
      </c>
      <c r="C442" s="22">
        <v>0</v>
      </c>
      <c r="D442" s="19"/>
      <c r="E442" s="22">
        <v>0</v>
      </c>
      <c r="F442" s="19"/>
      <c r="G442" s="22">
        <v>30520</v>
      </c>
      <c r="H442" s="19"/>
      <c r="I442" s="22">
        <v>20099</v>
      </c>
      <c r="J442" s="19"/>
      <c r="K442" s="22">
        <f>IF(SUM(C442:I442)=SUM(M442:Q442),SUM(C442:I442),SUM(M442:Q442)-SUM(C442:I442))</f>
        <v>50619</v>
      </c>
      <c r="L442" s="19"/>
      <c r="M442" s="22">
        <v>26328</v>
      </c>
      <c r="N442" s="19"/>
      <c r="O442" s="22">
        <f>1+24290</f>
        <v>24291</v>
      </c>
      <c r="P442" s="19"/>
      <c r="Q442" s="22">
        <v>0</v>
      </c>
      <c r="R442" s="6"/>
    </row>
    <row r="443" spans="1:18" s="3" customFormat="1" ht="13.5" customHeight="1">
      <c r="A443" s="19"/>
      <c r="B443" s="20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6"/>
    </row>
    <row r="444" spans="1:18" s="3" customFormat="1" ht="13.5" customHeight="1">
      <c r="A444" s="19" t="s">
        <v>181</v>
      </c>
      <c r="B444" s="20"/>
      <c r="C444" s="22">
        <v>0</v>
      </c>
      <c r="D444" s="19"/>
      <c r="E444" s="22">
        <v>0</v>
      </c>
      <c r="F444" s="19"/>
      <c r="G444" s="22">
        <v>0</v>
      </c>
      <c r="H444" s="19"/>
      <c r="I444" s="22">
        <v>158918</v>
      </c>
      <c r="J444" s="19"/>
      <c r="K444" s="22">
        <f>IF(SUM(C444:I444)=SUM(M444:Q444),SUM(C444:I444),SUM(M444:Q444)-SUM(C444:I444))</f>
        <v>158918</v>
      </c>
      <c r="L444" s="19"/>
      <c r="M444" s="22">
        <v>158727</v>
      </c>
      <c r="N444" s="19"/>
      <c r="O444" s="22">
        <v>191</v>
      </c>
      <c r="P444" s="19"/>
      <c r="Q444" s="22">
        <v>0</v>
      </c>
      <c r="R444" s="6"/>
    </row>
    <row r="445" spans="1:18" s="3" customFormat="1" ht="13.5" customHeight="1">
      <c r="A445" s="19"/>
      <c r="B445" s="20" t="s">
        <v>14</v>
      </c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6"/>
    </row>
    <row r="446" spans="1:18" s="3" customFormat="1" ht="13.5" customHeight="1">
      <c r="A446" s="19" t="s">
        <v>113</v>
      </c>
      <c r="B446" s="20" t="s">
        <v>14</v>
      </c>
      <c r="C446" s="22">
        <v>0</v>
      </c>
      <c r="D446" s="19"/>
      <c r="E446" s="22">
        <v>1597</v>
      </c>
      <c r="F446" s="19"/>
      <c r="G446" s="22">
        <v>0</v>
      </c>
      <c r="H446" s="19"/>
      <c r="I446" s="22">
        <v>0</v>
      </c>
      <c r="J446" s="19"/>
      <c r="K446" s="22">
        <f t="shared" si="8"/>
        <v>1597</v>
      </c>
      <c r="L446" s="19"/>
      <c r="M446" s="22">
        <v>1497</v>
      </c>
      <c r="N446" s="19"/>
      <c r="O446" s="22">
        <v>0</v>
      </c>
      <c r="P446" s="19"/>
      <c r="Q446" s="22">
        <v>100</v>
      </c>
      <c r="R446" s="6"/>
    </row>
    <row r="447" spans="1:43" s="3" customFormat="1" ht="13.5" customHeight="1">
      <c r="A447" s="19"/>
      <c r="B447" s="20"/>
      <c r="C447" s="24"/>
      <c r="D447" s="19"/>
      <c r="E447" s="24"/>
      <c r="F447" s="19"/>
      <c r="G447" s="24"/>
      <c r="H447" s="19"/>
      <c r="I447" s="24"/>
      <c r="J447" s="19"/>
      <c r="K447" s="19"/>
      <c r="L447" s="19"/>
      <c r="M447" s="24"/>
      <c r="N447" s="19"/>
      <c r="O447" s="24"/>
      <c r="P447" s="19"/>
      <c r="Q447" s="24"/>
      <c r="R447" s="6" t="s">
        <v>14</v>
      </c>
      <c r="S447" s="3" t="s">
        <v>14</v>
      </c>
      <c r="T447" s="3" t="s">
        <v>14</v>
      </c>
      <c r="U447" s="3" t="s">
        <v>14</v>
      </c>
      <c r="V447" s="3" t="s">
        <v>14</v>
      </c>
      <c r="W447" s="3" t="s">
        <v>14</v>
      </c>
      <c r="X447" s="3" t="s">
        <v>14</v>
      </c>
      <c r="Y447" s="3" t="s">
        <v>14</v>
      </c>
      <c r="Z447" s="3" t="s">
        <v>14</v>
      </c>
      <c r="AA447" s="3" t="s">
        <v>14</v>
      </c>
      <c r="AB447" s="3" t="s">
        <v>14</v>
      </c>
      <c r="AC447" s="3" t="s">
        <v>14</v>
      </c>
      <c r="AD447" s="3" t="s">
        <v>14</v>
      </c>
      <c r="AE447" s="3" t="s">
        <v>14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3" t="s">
        <v>14</v>
      </c>
      <c r="AL447" s="3" t="s">
        <v>14</v>
      </c>
      <c r="AM447" s="3" t="s">
        <v>14</v>
      </c>
      <c r="AN447" s="3" t="s">
        <v>14</v>
      </c>
      <c r="AO447" s="3" t="s">
        <v>14</v>
      </c>
      <c r="AP447" s="3" t="s">
        <v>14</v>
      </c>
      <c r="AQ447" s="3" t="s">
        <v>14</v>
      </c>
    </row>
    <row r="448" spans="1:18" s="3" customFormat="1" ht="13.5" customHeight="1">
      <c r="A448" s="19" t="s">
        <v>26</v>
      </c>
      <c r="B448" s="20" t="s">
        <v>14</v>
      </c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6"/>
    </row>
    <row r="449" spans="1:18" s="3" customFormat="1" ht="13.5" customHeight="1">
      <c r="A449" s="19" t="s">
        <v>114</v>
      </c>
      <c r="B449" s="20" t="s">
        <v>14</v>
      </c>
      <c r="C449" s="19">
        <v>0</v>
      </c>
      <c r="D449" s="19"/>
      <c r="E449" s="19">
        <v>0</v>
      </c>
      <c r="F449" s="19"/>
      <c r="G449" s="19">
        <v>73284</v>
      </c>
      <c r="H449" s="19"/>
      <c r="I449" s="19">
        <v>0</v>
      </c>
      <c r="J449" s="19"/>
      <c r="K449" s="19">
        <f t="shared" si="8"/>
        <v>73284</v>
      </c>
      <c r="L449" s="19"/>
      <c r="M449" s="19">
        <v>49363</v>
      </c>
      <c r="N449" s="19"/>
      <c r="O449" s="19">
        <f>1+23920</f>
        <v>23921</v>
      </c>
      <c r="P449" s="19"/>
      <c r="Q449" s="19">
        <v>0</v>
      </c>
      <c r="R449" s="6"/>
    </row>
    <row r="450" spans="1:18" s="3" customFormat="1" ht="13.5" customHeight="1">
      <c r="A450" s="19" t="s">
        <v>115</v>
      </c>
      <c r="B450" s="20" t="s">
        <v>14</v>
      </c>
      <c r="C450" s="19">
        <v>0</v>
      </c>
      <c r="D450" s="19"/>
      <c r="E450" s="19">
        <v>0</v>
      </c>
      <c r="F450" s="19"/>
      <c r="G450" s="19">
        <v>30913</v>
      </c>
      <c r="H450" s="19"/>
      <c r="I450" s="19">
        <v>0</v>
      </c>
      <c r="J450" s="19"/>
      <c r="K450" s="19">
        <f t="shared" si="8"/>
        <v>30913</v>
      </c>
      <c r="L450" s="19"/>
      <c r="M450" s="19">
        <v>16691</v>
      </c>
      <c r="N450" s="19"/>
      <c r="O450" s="19">
        <v>14222</v>
      </c>
      <c r="P450" s="19"/>
      <c r="Q450" s="19">
        <v>0</v>
      </c>
      <c r="R450" s="6"/>
    </row>
    <row r="451" spans="1:18" s="3" customFormat="1" ht="13.5" customHeight="1">
      <c r="A451" s="19" t="s">
        <v>116</v>
      </c>
      <c r="B451" s="20" t="s">
        <v>14</v>
      </c>
      <c r="C451" s="19">
        <v>0</v>
      </c>
      <c r="D451" s="19"/>
      <c r="E451" s="19">
        <v>0</v>
      </c>
      <c r="F451" s="19"/>
      <c r="G451" s="19">
        <v>8776</v>
      </c>
      <c r="H451" s="19"/>
      <c r="I451" s="19">
        <v>0</v>
      </c>
      <c r="J451" s="19"/>
      <c r="K451" s="19">
        <f t="shared" si="8"/>
        <v>8776</v>
      </c>
      <c r="L451" s="19"/>
      <c r="M451" s="19">
        <v>0</v>
      </c>
      <c r="N451" s="19"/>
      <c r="O451" s="19">
        <v>8776</v>
      </c>
      <c r="P451" s="19"/>
      <c r="Q451" s="19">
        <v>0</v>
      </c>
      <c r="R451" s="6"/>
    </row>
    <row r="452" spans="1:18" s="3" customFormat="1" ht="13.5" customHeight="1">
      <c r="A452" s="19" t="s">
        <v>117</v>
      </c>
      <c r="B452" s="20" t="s">
        <v>14</v>
      </c>
      <c r="C452" s="19">
        <v>2437</v>
      </c>
      <c r="D452" s="19"/>
      <c r="E452" s="19">
        <v>0</v>
      </c>
      <c r="F452" s="19"/>
      <c r="G452" s="19">
        <v>119386</v>
      </c>
      <c r="H452" s="19"/>
      <c r="I452" s="19">
        <v>195</v>
      </c>
      <c r="J452" s="19"/>
      <c r="K452" s="19">
        <f t="shared" si="8"/>
        <v>122018</v>
      </c>
      <c r="L452" s="19"/>
      <c r="M452" s="19">
        <v>86030</v>
      </c>
      <c r="N452" s="19"/>
      <c r="O452" s="19">
        <v>35988</v>
      </c>
      <c r="P452" s="19"/>
      <c r="Q452" s="19">
        <v>0</v>
      </c>
      <c r="R452" s="6"/>
    </row>
    <row r="453" spans="1:18" s="3" customFormat="1" ht="13.5" customHeight="1">
      <c r="A453" s="19" t="s">
        <v>303</v>
      </c>
      <c r="B453" s="20" t="s">
        <v>14</v>
      </c>
      <c r="C453" s="19">
        <v>0</v>
      </c>
      <c r="D453" s="19"/>
      <c r="E453" s="19">
        <v>0</v>
      </c>
      <c r="F453" s="19"/>
      <c r="G453" s="19">
        <v>91861</v>
      </c>
      <c r="H453" s="19"/>
      <c r="I453" s="19">
        <v>22171</v>
      </c>
      <c r="J453" s="19"/>
      <c r="K453" s="19">
        <f t="shared" si="8"/>
        <v>114032</v>
      </c>
      <c r="L453" s="19"/>
      <c r="M453" s="19">
        <v>96530</v>
      </c>
      <c r="N453" s="19"/>
      <c r="O453" s="19">
        <f>17503-1</f>
        <v>17502</v>
      </c>
      <c r="P453" s="19"/>
      <c r="Q453" s="19">
        <v>0</v>
      </c>
      <c r="R453" s="6"/>
    </row>
    <row r="454" spans="1:18" s="3" customFormat="1" ht="13.5" customHeight="1">
      <c r="A454" s="19" t="s">
        <v>190</v>
      </c>
      <c r="B454" s="20" t="s">
        <v>14</v>
      </c>
      <c r="C454" s="19">
        <v>0</v>
      </c>
      <c r="D454" s="19"/>
      <c r="E454" s="19">
        <v>0</v>
      </c>
      <c r="F454" s="19"/>
      <c r="G454" s="19">
        <v>256</v>
      </c>
      <c r="H454" s="19"/>
      <c r="I454" s="19">
        <v>0</v>
      </c>
      <c r="J454" s="19"/>
      <c r="K454" s="19">
        <f t="shared" si="8"/>
        <v>256</v>
      </c>
      <c r="L454" s="19"/>
      <c r="M454" s="19">
        <v>0</v>
      </c>
      <c r="N454" s="19"/>
      <c r="O454" s="19">
        <v>256</v>
      </c>
      <c r="P454" s="19"/>
      <c r="Q454" s="19">
        <v>0</v>
      </c>
      <c r="R454" s="6"/>
    </row>
    <row r="455" spans="1:18" s="3" customFormat="1" ht="13.5" customHeight="1">
      <c r="A455" s="19" t="s">
        <v>118</v>
      </c>
      <c r="B455" s="20" t="s">
        <v>14</v>
      </c>
      <c r="C455" s="19">
        <v>0</v>
      </c>
      <c r="D455" s="19"/>
      <c r="E455" s="19">
        <v>0</v>
      </c>
      <c r="F455" s="19"/>
      <c r="G455" s="19">
        <v>0</v>
      </c>
      <c r="H455" s="19"/>
      <c r="I455" s="19">
        <v>45815</v>
      </c>
      <c r="J455" s="19"/>
      <c r="K455" s="19">
        <f t="shared" si="8"/>
        <v>45815</v>
      </c>
      <c r="L455" s="19"/>
      <c r="M455" s="19">
        <v>38076</v>
      </c>
      <c r="N455" s="19"/>
      <c r="O455" s="19">
        <v>7739</v>
      </c>
      <c r="P455" s="19"/>
      <c r="Q455" s="19">
        <v>0</v>
      </c>
      <c r="R455" s="6"/>
    </row>
    <row r="456" spans="1:18" s="3" customFormat="1" ht="13.5" customHeight="1">
      <c r="A456" s="19" t="s">
        <v>135</v>
      </c>
      <c r="B456" s="20"/>
      <c r="C456" s="19">
        <v>0</v>
      </c>
      <c r="D456" s="19"/>
      <c r="E456" s="19">
        <v>0</v>
      </c>
      <c r="F456" s="19"/>
      <c r="G456" s="19">
        <v>295825</v>
      </c>
      <c r="H456" s="19"/>
      <c r="I456" s="19">
        <v>3879</v>
      </c>
      <c r="J456" s="19"/>
      <c r="K456" s="19">
        <f t="shared" si="8"/>
        <v>299704</v>
      </c>
      <c r="L456" s="19"/>
      <c r="M456" s="19">
        <v>191497</v>
      </c>
      <c r="N456" s="19"/>
      <c r="O456" s="19">
        <f>108208-1</f>
        <v>108207</v>
      </c>
      <c r="P456" s="19"/>
      <c r="Q456" s="19">
        <v>0</v>
      </c>
      <c r="R456" s="6"/>
    </row>
    <row r="457" spans="1:18" s="3" customFormat="1" ht="13.5" customHeight="1">
      <c r="A457" s="19" t="s">
        <v>119</v>
      </c>
      <c r="B457" s="20" t="s">
        <v>14</v>
      </c>
      <c r="C457" s="19">
        <v>0</v>
      </c>
      <c r="D457" s="19"/>
      <c r="E457" s="19">
        <v>7050</v>
      </c>
      <c r="F457" s="19"/>
      <c r="G457" s="19">
        <v>7387</v>
      </c>
      <c r="H457" s="19"/>
      <c r="I457" s="19">
        <v>0</v>
      </c>
      <c r="J457" s="19"/>
      <c r="K457" s="19">
        <f t="shared" si="8"/>
        <v>14437</v>
      </c>
      <c r="L457" s="19"/>
      <c r="M457" s="19">
        <v>6609</v>
      </c>
      <c r="N457" s="19"/>
      <c r="O457" s="19">
        <v>7387</v>
      </c>
      <c r="P457" s="19"/>
      <c r="Q457" s="19">
        <v>441</v>
      </c>
      <c r="R457" s="6"/>
    </row>
    <row r="458" spans="1:18" s="3" customFormat="1" ht="13.5" customHeight="1">
      <c r="A458" s="19" t="s">
        <v>191</v>
      </c>
      <c r="B458" s="20"/>
      <c r="C458" s="19">
        <v>0</v>
      </c>
      <c r="D458" s="19"/>
      <c r="E458" s="19">
        <v>3542</v>
      </c>
      <c r="F458" s="19"/>
      <c r="G458" s="19">
        <v>3494</v>
      </c>
      <c r="H458" s="19"/>
      <c r="I458" s="19">
        <v>0</v>
      </c>
      <c r="J458" s="19"/>
      <c r="K458" s="19">
        <f t="shared" si="8"/>
        <v>7036</v>
      </c>
      <c r="L458" s="19"/>
      <c r="M458" s="19">
        <v>5810</v>
      </c>
      <c r="N458" s="19"/>
      <c r="O458" s="19">
        <v>1005</v>
      </c>
      <c r="P458" s="19"/>
      <c r="Q458" s="19">
        <v>221</v>
      </c>
      <c r="R458" s="6"/>
    </row>
    <row r="459" spans="1:18" s="3" customFormat="1" ht="13.5" customHeight="1">
      <c r="A459" s="19" t="s">
        <v>120</v>
      </c>
      <c r="B459" s="20" t="s">
        <v>14</v>
      </c>
      <c r="C459" s="19">
        <v>0</v>
      </c>
      <c r="D459" s="19"/>
      <c r="E459" s="19">
        <v>0</v>
      </c>
      <c r="F459" s="19"/>
      <c r="G459" s="19">
        <v>7049</v>
      </c>
      <c r="H459" s="19"/>
      <c r="I459" s="19">
        <v>0</v>
      </c>
      <c r="J459" s="19"/>
      <c r="K459" s="19">
        <f t="shared" si="8"/>
        <v>7049</v>
      </c>
      <c r="L459" s="19"/>
      <c r="M459" s="19">
        <v>0</v>
      </c>
      <c r="N459" s="19"/>
      <c r="O459" s="19">
        <v>7049</v>
      </c>
      <c r="P459" s="19"/>
      <c r="Q459" s="19">
        <v>0</v>
      </c>
      <c r="R459" s="6"/>
    </row>
    <row r="460" spans="1:18" s="3" customFormat="1" ht="13.5" customHeight="1">
      <c r="A460" s="19" t="s">
        <v>121</v>
      </c>
      <c r="B460" s="20" t="s">
        <v>14</v>
      </c>
      <c r="C460" s="19">
        <v>0</v>
      </c>
      <c r="D460" s="19"/>
      <c r="E460" s="19">
        <v>0</v>
      </c>
      <c r="F460" s="19"/>
      <c r="G460" s="19">
        <v>63982</v>
      </c>
      <c r="H460" s="19"/>
      <c r="I460" s="19">
        <v>0</v>
      </c>
      <c r="J460" s="19"/>
      <c r="K460" s="19">
        <f t="shared" si="8"/>
        <v>63982</v>
      </c>
      <c r="L460" s="19"/>
      <c r="M460" s="19">
        <v>15338</v>
      </c>
      <c r="N460" s="19"/>
      <c r="O460" s="19">
        <f>1+48643</f>
        <v>48644</v>
      </c>
      <c r="P460" s="19"/>
      <c r="Q460" s="19">
        <v>0</v>
      </c>
      <c r="R460" s="6"/>
    </row>
    <row r="461" spans="1:18" s="3" customFormat="1" ht="13.5" customHeight="1">
      <c r="A461" s="19" t="s">
        <v>122</v>
      </c>
      <c r="B461" s="20" t="s">
        <v>14</v>
      </c>
      <c r="C461" s="19">
        <v>0</v>
      </c>
      <c r="D461" s="19"/>
      <c r="E461" s="19">
        <v>2198</v>
      </c>
      <c r="F461" s="19"/>
      <c r="G461" s="19">
        <v>0</v>
      </c>
      <c r="H461" s="19"/>
      <c r="I461" s="19">
        <v>-20960</v>
      </c>
      <c r="J461" s="19"/>
      <c r="K461" s="19">
        <f t="shared" si="8"/>
        <v>-18762</v>
      </c>
      <c r="L461" s="19"/>
      <c r="M461" s="19">
        <v>52184</v>
      </c>
      <c r="N461" s="19"/>
      <c r="O461" s="19">
        <v>-71083</v>
      </c>
      <c r="P461" s="19"/>
      <c r="Q461" s="19">
        <v>137</v>
      </c>
      <c r="R461" s="6"/>
    </row>
    <row r="462" spans="1:18" s="3" customFormat="1" ht="13.5" customHeight="1">
      <c r="A462" s="19" t="s">
        <v>304</v>
      </c>
      <c r="B462" s="20"/>
      <c r="C462" s="19">
        <v>0</v>
      </c>
      <c r="D462" s="19"/>
      <c r="E462" s="19">
        <v>0</v>
      </c>
      <c r="F462" s="19"/>
      <c r="G462" s="19">
        <v>5192</v>
      </c>
      <c r="H462" s="19"/>
      <c r="I462" s="19">
        <v>0</v>
      </c>
      <c r="J462" s="19"/>
      <c r="K462" s="19">
        <f t="shared" si="8"/>
        <v>5192</v>
      </c>
      <c r="L462" s="19"/>
      <c r="M462" s="19">
        <v>4860</v>
      </c>
      <c r="N462" s="19"/>
      <c r="O462" s="19">
        <v>332</v>
      </c>
      <c r="P462" s="19"/>
      <c r="Q462" s="19">
        <v>0</v>
      </c>
      <c r="R462" s="6"/>
    </row>
    <row r="463" spans="1:18" s="3" customFormat="1" ht="13.5" customHeight="1">
      <c r="A463" s="19" t="s">
        <v>123</v>
      </c>
      <c r="B463" s="20" t="s">
        <v>14</v>
      </c>
      <c r="C463" s="19">
        <v>3436</v>
      </c>
      <c r="D463" s="19"/>
      <c r="E463" s="19">
        <v>0</v>
      </c>
      <c r="F463" s="19"/>
      <c r="G463" s="19">
        <v>629</v>
      </c>
      <c r="H463" s="19"/>
      <c r="I463" s="19">
        <v>19408</v>
      </c>
      <c r="J463" s="19"/>
      <c r="K463" s="19">
        <f t="shared" si="8"/>
        <v>23473</v>
      </c>
      <c r="L463" s="19"/>
      <c r="M463" s="19">
        <v>10315</v>
      </c>
      <c r="N463" s="19"/>
      <c r="O463" s="19">
        <f>13159-1</f>
        <v>13158</v>
      </c>
      <c r="P463" s="19"/>
      <c r="Q463" s="19">
        <v>0</v>
      </c>
      <c r="R463" s="6"/>
    </row>
    <row r="464" spans="1:18" s="3" customFormat="1" ht="13.5" customHeight="1">
      <c r="A464" s="19" t="s">
        <v>124</v>
      </c>
      <c r="B464" s="20" t="s">
        <v>14</v>
      </c>
      <c r="C464" s="25">
        <v>0</v>
      </c>
      <c r="D464" s="19"/>
      <c r="E464" s="25">
        <v>315</v>
      </c>
      <c r="F464" s="19"/>
      <c r="G464" s="25">
        <v>37647</v>
      </c>
      <c r="H464" s="19"/>
      <c r="I464" s="25">
        <v>0</v>
      </c>
      <c r="J464" s="19"/>
      <c r="K464" s="19">
        <f t="shared" si="8"/>
        <v>37962</v>
      </c>
      <c r="L464" s="19"/>
      <c r="M464" s="25">
        <v>295</v>
      </c>
      <c r="N464" s="19"/>
      <c r="O464" s="25">
        <v>37647</v>
      </c>
      <c r="P464" s="19"/>
      <c r="Q464" s="25">
        <v>20</v>
      </c>
      <c r="R464" s="6"/>
    </row>
    <row r="465" spans="1:18" s="3" customFormat="1" ht="13.5" customHeight="1">
      <c r="A465" s="19" t="s">
        <v>166</v>
      </c>
      <c r="B465" s="20" t="s">
        <v>14</v>
      </c>
      <c r="C465" s="22">
        <f>SUM(C449:C464)</f>
        <v>5873</v>
      </c>
      <c r="D465" s="19"/>
      <c r="E465" s="22">
        <f>SUM(E449:E464)</f>
        <v>13105</v>
      </c>
      <c r="F465" s="19"/>
      <c r="G465" s="22">
        <f>SUM(G449:G464)</f>
        <v>745681</v>
      </c>
      <c r="H465" s="19"/>
      <c r="I465" s="22">
        <f>SUM(I449:I464)</f>
        <v>70508</v>
      </c>
      <c r="J465" s="19"/>
      <c r="K465" s="23">
        <f t="shared" si="8"/>
        <v>835167</v>
      </c>
      <c r="L465" s="19"/>
      <c r="M465" s="22">
        <f>SUM(M449:M464)</f>
        <v>573598</v>
      </c>
      <c r="N465" s="19"/>
      <c r="O465" s="22">
        <f>SUM(O449:O464)</f>
        <v>260750</v>
      </c>
      <c r="P465" s="19"/>
      <c r="Q465" s="22">
        <f>SUM(Q449:Q464)</f>
        <v>819</v>
      </c>
      <c r="R465" s="6"/>
    </row>
    <row r="466" spans="1:18" s="3" customFormat="1" ht="13.5" customHeight="1">
      <c r="A466" s="19"/>
      <c r="B466" s="20" t="s">
        <v>14</v>
      </c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6"/>
    </row>
    <row r="467" spans="1:18" s="3" customFormat="1" ht="13.5" customHeight="1">
      <c r="A467" s="19" t="s">
        <v>167</v>
      </c>
      <c r="B467" s="27" t="s">
        <v>14</v>
      </c>
      <c r="C467" s="22">
        <f>C431+C438+C446+C465+C444+C433+C440+C442+C427</f>
        <v>5873</v>
      </c>
      <c r="D467" s="24"/>
      <c r="E467" s="22">
        <f>E431+E438+E446+E465+E444+E433+E440+E442+E427</f>
        <v>160832</v>
      </c>
      <c r="F467" s="24"/>
      <c r="G467" s="22">
        <f>G431+G438+G446+G465+G444+G433+G440+G442+G427</f>
        <v>1388158</v>
      </c>
      <c r="H467" s="24"/>
      <c r="I467" s="22">
        <f>I431+I438+I446+I465+I444+I433+I440+I442+I427</f>
        <v>4180268</v>
      </c>
      <c r="J467" s="24"/>
      <c r="K467" s="22">
        <f>K431+K438+K446+K465+K444+K433+K440+K442+K427</f>
        <v>5735131</v>
      </c>
      <c r="L467" s="19"/>
      <c r="M467" s="22">
        <f>M431+M438+M446+M465+M444+M433+M440+M442+M427</f>
        <v>1372124</v>
      </c>
      <c r="N467" s="24"/>
      <c r="O467" s="22">
        <f>O431+O438+O446+O465+O444+O433+O440+O442+O427</f>
        <v>4332310</v>
      </c>
      <c r="P467" s="24"/>
      <c r="Q467" s="22">
        <f>Q431+Q438+Q446+Q465+Q444+Q433+Q440+Q442+Q427</f>
        <v>30697</v>
      </c>
      <c r="R467" s="6"/>
    </row>
    <row r="468" spans="1:18" s="3" customFormat="1" ht="13.5" customHeight="1">
      <c r="A468" s="19"/>
      <c r="B468" s="20" t="s">
        <v>14</v>
      </c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6"/>
    </row>
    <row r="469" spans="1:18" s="3" customFormat="1" ht="13.5" customHeight="1">
      <c r="A469" s="19" t="s">
        <v>203</v>
      </c>
      <c r="B469" s="20" t="s">
        <v>14</v>
      </c>
      <c r="C469" s="19" t="s">
        <v>14</v>
      </c>
      <c r="D469" s="19"/>
      <c r="E469" s="19" t="s">
        <v>14</v>
      </c>
      <c r="F469" s="19"/>
      <c r="G469" s="19" t="s">
        <v>14</v>
      </c>
      <c r="H469" s="19"/>
      <c r="I469" s="19" t="s">
        <v>14</v>
      </c>
      <c r="J469" s="19"/>
      <c r="K469" s="19"/>
      <c r="L469" s="19"/>
      <c r="M469" s="19" t="s">
        <v>14</v>
      </c>
      <c r="N469" s="19"/>
      <c r="O469" s="19" t="s">
        <v>14</v>
      </c>
      <c r="P469" s="19"/>
      <c r="Q469" s="19" t="s">
        <v>14</v>
      </c>
      <c r="R469" s="6"/>
    </row>
    <row r="470" spans="1:18" s="3" customFormat="1" ht="13.5" customHeight="1">
      <c r="A470" s="19" t="s">
        <v>199</v>
      </c>
      <c r="B470" s="20"/>
      <c r="C470" s="25">
        <v>0</v>
      </c>
      <c r="D470" s="19"/>
      <c r="E470" s="25">
        <v>0</v>
      </c>
      <c r="F470" s="19"/>
      <c r="G470" s="25">
        <v>2387</v>
      </c>
      <c r="H470" s="19"/>
      <c r="I470" s="25">
        <v>417</v>
      </c>
      <c r="J470" s="19"/>
      <c r="K470" s="25">
        <f t="shared" si="8"/>
        <v>2804</v>
      </c>
      <c r="L470" s="19"/>
      <c r="M470" s="25">
        <v>0</v>
      </c>
      <c r="N470" s="19"/>
      <c r="O470" s="25">
        <f>1+2803</f>
        <v>2804</v>
      </c>
      <c r="P470" s="19"/>
      <c r="Q470" s="25">
        <v>0</v>
      </c>
      <c r="R470" s="6"/>
    </row>
    <row r="471" spans="1:18" s="3" customFormat="1" ht="13.5" customHeight="1">
      <c r="A471" s="19"/>
      <c r="B471" s="20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6"/>
    </row>
    <row r="472" spans="1:18" s="3" customFormat="1" ht="13.5" customHeight="1">
      <c r="A472" s="19" t="s">
        <v>126</v>
      </c>
      <c r="B472" s="20"/>
      <c r="C472" s="22">
        <v>0</v>
      </c>
      <c r="D472" s="19"/>
      <c r="E472" s="22">
        <v>0</v>
      </c>
      <c r="F472" s="19"/>
      <c r="G472" s="22">
        <v>0</v>
      </c>
      <c r="H472" s="19"/>
      <c r="I472" s="22">
        <v>12124</v>
      </c>
      <c r="J472" s="19"/>
      <c r="K472" s="22">
        <f t="shared" si="8"/>
        <v>12124</v>
      </c>
      <c r="L472" s="19"/>
      <c r="M472" s="22">
        <v>382</v>
      </c>
      <c r="N472" s="19"/>
      <c r="O472" s="22">
        <v>11742</v>
      </c>
      <c r="P472" s="19"/>
      <c r="Q472" s="22">
        <v>0</v>
      </c>
      <c r="R472" s="6"/>
    </row>
    <row r="473" spans="1:18" s="3" customFormat="1" ht="13.5" customHeight="1">
      <c r="A473" s="19"/>
      <c r="B473" s="20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6"/>
    </row>
    <row r="474" spans="1:18" s="3" customFormat="1" ht="13.5" customHeight="1">
      <c r="A474" s="19" t="s">
        <v>305</v>
      </c>
      <c r="B474" s="20" t="s">
        <v>14</v>
      </c>
      <c r="C474" s="22">
        <v>0</v>
      </c>
      <c r="D474" s="19"/>
      <c r="E474" s="22">
        <v>0</v>
      </c>
      <c r="F474" s="19"/>
      <c r="G474" s="22">
        <v>0</v>
      </c>
      <c r="H474" s="19"/>
      <c r="I474" s="22">
        <v>4148</v>
      </c>
      <c r="J474" s="19"/>
      <c r="K474" s="22">
        <f t="shared" si="8"/>
        <v>4148</v>
      </c>
      <c r="L474" s="19"/>
      <c r="M474" s="22">
        <v>0</v>
      </c>
      <c r="N474" s="19"/>
      <c r="O474" s="22">
        <v>4148</v>
      </c>
      <c r="P474" s="19"/>
      <c r="Q474" s="22">
        <v>0</v>
      </c>
      <c r="R474" s="6"/>
    </row>
    <row r="475" spans="1:18" s="3" customFormat="1" ht="13.5" customHeight="1">
      <c r="A475" s="19"/>
      <c r="B475" s="20" t="s">
        <v>14</v>
      </c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6"/>
    </row>
    <row r="476" spans="1:18" s="3" customFormat="1" ht="13.5" customHeight="1">
      <c r="A476" s="19" t="s">
        <v>274</v>
      </c>
      <c r="B476" s="20" t="s">
        <v>14</v>
      </c>
      <c r="C476" s="22">
        <v>0</v>
      </c>
      <c r="D476" s="19"/>
      <c r="E476" s="22">
        <v>0</v>
      </c>
      <c r="F476" s="19"/>
      <c r="G476" s="22">
        <v>0</v>
      </c>
      <c r="H476" s="19"/>
      <c r="I476" s="22">
        <v>133493</v>
      </c>
      <c r="J476" s="19"/>
      <c r="K476" s="22">
        <f t="shared" si="8"/>
        <v>133493</v>
      </c>
      <c r="L476" s="19"/>
      <c r="M476" s="22">
        <v>110725</v>
      </c>
      <c r="N476" s="19"/>
      <c r="O476" s="22">
        <v>22768</v>
      </c>
      <c r="P476" s="19"/>
      <c r="Q476" s="22">
        <v>0</v>
      </c>
      <c r="R476" s="6"/>
    </row>
    <row r="477" spans="1:18" s="3" customFormat="1" ht="13.5" customHeight="1">
      <c r="A477" s="19"/>
      <c r="B477" s="20" t="s">
        <v>14</v>
      </c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6"/>
    </row>
    <row r="478" spans="1:18" s="3" customFormat="1" ht="13.5" customHeight="1">
      <c r="A478" s="19" t="s">
        <v>247</v>
      </c>
      <c r="B478" s="20" t="s">
        <v>14</v>
      </c>
      <c r="C478" s="22">
        <v>0</v>
      </c>
      <c r="D478" s="19"/>
      <c r="E478" s="22">
        <v>0</v>
      </c>
      <c r="F478" s="19"/>
      <c r="G478" s="22">
        <v>0</v>
      </c>
      <c r="H478" s="19"/>
      <c r="I478" s="22">
        <v>708664</v>
      </c>
      <c r="J478" s="19"/>
      <c r="K478" s="22">
        <f t="shared" si="8"/>
        <v>708664</v>
      </c>
      <c r="L478" s="19"/>
      <c r="M478" s="22">
        <v>441120</v>
      </c>
      <c r="N478" s="19"/>
      <c r="O478" s="22">
        <f>1+267543</f>
        <v>267544</v>
      </c>
      <c r="P478" s="19"/>
      <c r="Q478" s="22">
        <v>0</v>
      </c>
      <c r="R478" s="6"/>
    </row>
    <row r="479" spans="1:18" s="3" customFormat="1" ht="13.5" customHeight="1">
      <c r="A479" s="19"/>
      <c r="B479" s="20"/>
      <c r="C479" s="24"/>
      <c r="D479" s="19"/>
      <c r="E479" s="24"/>
      <c r="F479" s="19"/>
      <c r="G479" s="24"/>
      <c r="H479" s="19"/>
      <c r="I479" s="24"/>
      <c r="J479" s="19"/>
      <c r="K479" s="19"/>
      <c r="L479" s="19"/>
      <c r="M479" s="24"/>
      <c r="N479" s="19"/>
      <c r="O479" s="24"/>
      <c r="P479" s="19"/>
      <c r="Q479" s="24"/>
      <c r="R479" s="6"/>
    </row>
    <row r="480" spans="1:18" s="3" customFormat="1" ht="13.5" customHeight="1">
      <c r="A480" s="19" t="s">
        <v>127</v>
      </c>
      <c r="B480" s="20" t="s">
        <v>14</v>
      </c>
      <c r="C480" s="22">
        <v>0</v>
      </c>
      <c r="D480" s="19"/>
      <c r="E480" s="22">
        <v>10267</v>
      </c>
      <c r="F480" s="19"/>
      <c r="G480" s="22">
        <v>0</v>
      </c>
      <c r="H480" s="19"/>
      <c r="I480" s="22">
        <v>0</v>
      </c>
      <c r="J480" s="19"/>
      <c r="K480" s="22">
        <f t="shared" si="8"/>
        <v>10267</v>
      </c>
      <c r="L480" s="19"/>
      <c r="M480" s="22">
        <v>9625</v>
      </c>
      <c r="N480" s="19"/>
      <c r="O480" s="22">
        <v>0</v>
      </c>
      <c r="P480" s="19"/>
      <c r="Q480" s="22">
        <v>642</v>
      </c>
      <c r="R480" s="6"/>
    </row>
    <row r="481" spans="1:18" s="3" customFormat="1" ht="13.5" customHeight="1">
      <c r="A481" s="19"/>
      <c r="B481" s="20"/>
      <c r="C481" s="24"/>
      <c r="D481" s="19"/>
      <c r="E481" s="24"/>
      <c r="F481" s="19"/>
      <c r="G481" s="24"/>
      <c r="H481" s="19"/>
      <c r="I481" s="24"/>
      <c r="J481" s="19"/>
      <c r="K481" s="24"/>
      <c r="L481" s="19"/>
      <c r="M481" s="24"/>
      <c r="N481" s="19"/>
      <c r="O481" s="24"/>
      <c r="P481" s="19"/>
      <c r="Q481" s="24"/>
      <c r="R481" s="6"/>
    </row>
    <row r="482" spans="1:18" s="3" customFormat="1" ht="13.5" customHeight="1">
      <c r="A482" s="19" t="s">
        <v>310</v>
      </c>
      <c r="B482" s="20"/>
      <c r="C482" s="25">
        <v>0</v>
      </c>
      <c r="D482" s="19"/>
      <c r="E482" s="25">
        <v>373888</v>
      </c>
      <c r="F482" s="19"/>
      <c r="G482" s="25">
        <v>0</v>
      </c>
      <c r="H482" s="19"/>
      <c r="I482" s="25">
        <v>246018</v>
      </c>
      <c r="J482" s="19"/>
      <c r="K482" s="22">
        <f>IF(SUM(C482:I482)=SUM(M482:Q482),SUM(C482:I482),SUM(M482:Q482)-SUM(C482:I482))</f>
        <v>619906</v>
      </c>
      <c r="L482" s="19"/>
      <c r="M482" s="25">
        <v>239204</v>
      </c>
      <c r="N482" s="19"/>
      <c r="O482" s="25">
        <f>246018-1</f>
        <v>246017</v>
      </c>
      <c r="P482" s="19"/>
      <c r="Q482" s="25">
        <v>134685</v>
      </c>
      <c r="R482" s="6"/>
    </row>
    <row r="483" spans="1:18" s="3" customFormat="1" ht="13.5" customHeight="1">
      <c r="A483" s="19"/>
      <c r="B483" s="20" t="s">
        <v>14</v>
      </c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6"/>
    </row>
    <row r="484" spans="1:18" s="3" customFormat="1" ht="13.5" customHeight="1">
      <c r="A484" s="19" t="s">
        <v>27</v>
      </c>
      <c r="B484" s="20" t="s">
        <v>14</v>
      </c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6"/>
    </row>
    <row r="485" spans="1:18" s="3" customFormat="1" ht="13.5" customHeight="1">
      <c r="A485" s="19" t="s">
        <v>128</v>
      </c>
      <c r="B485" s="20" t="s">
        <v>14</v>
      </c>
      <c r="C485" s="22">
        <v>0</v>
      </c>
      <c r="D485" s="19"/>
      <c r="E485" s="22">
        <v>60606</v>
      </c>
      <c r="F485" s="19"/>
      <c r="G485" s="22">
        <v>1651</v>
      </c>
      <c r="H485" s="19"/>
      <c r="I485" s="22">
        <v>0</v>
      </c>
      <c r="J485" s="19"/>
      <c r="K485" s="22">
        <f aca="true" t="shared" si="9" ref="K485:K543">IF(SUM(C485:I485)=SUM(M485:Q485),SUM(C485:I485),SUM(M485:Q485)-SUM(C485:I485))</f>
        <v>62257</v>
      </c>
      <c r="L485" s="19"/>
      <c r="M485" s="22">
        <v>58676</v>
      </c>
      <c r="N485" s="19"/>
      <c r="O485" s="22">
        <f>1+3580</f>
        <v>3581</v>
      </c>
      <c r="P485" s="19"/>
      <c r="Q485" s="22">
        <v>0</v>
      </c>
      <c r="R485" s="6"/>
    </row>
    <row r="486" spans="1:18" s="3" customFormat="1" ht="13.5" customHeight="1">
      <c r="A486" s="19"/>
      <c r="B486" s="20" t="s">
        <v>14</v>
      </c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6"/>
    </row>
    <row r="487" spans="1:18" s="3" customFormat="1" ht="13.5" customHeight="1">
      <c r="A487" s="19" t="s">
        <v>28</v>
      </c>
      <c r="B487" s="20" t="s">
        <v>14</v>
      </c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 t="s">
        <v>14</v>
      </c>
      <c r="N487" s="19"/>
      <c r="O487" s="19" t="s">
        <v>14</v>
      </c>
      <c r="P487" s="19"/>
      <c r="Q487" s="19" t="s">
        <v>14</v>
      </c>
      <c r="R487" s="6"/>
    </row>
    <row r="488" spans="1:18" s="3" customFormat="1" ht="13.5" customHeight="1">
      <c r="A488" s="19" t="s">
        <v>239</v>
      </c>
      <c r="B488" s="20" t="s">
        <v>14</v>
      </c>
      <c r="C488" s="19">
        <v>0</v>
      </c>
      <c r="D488" s="19"/>
      <c r="E488" s="19">
        <v>0</v>
      </c>
      <c r="F488" s="19"/>
      <c r="G488" s="19">
        <v>45272</v>
      </c>
      <c r="H488" s="19"/>
      <c r="I488" s="19">
        <v>389706</v>
      </c>
      <c r="J488" s="19"/>
      <c r="K488" s="19">
        <f t="shared" si="9"/>
        <v>434978</v>
      </c>
      <c r="L488" s="19"/>
      <c r="M488" s="19">
        <v>272363</v>
      </c>
      <c r="N488" s="19"/>
      <c r="O488" s="19">
        <f>162616-1</f>
        <v>162615</v>
      </c>
      <c r="P488" s="19"/>
      <c r="Q488" s="19">
        <v>0</v>
      </c>
      <c r="R488" s="6"/>
    </row>
    <row r="489" spans="1:18" s="3" customFormat="1" ht="13.5" customHeight="1">
      <c r="A489" s="19" t="s">
        <v>129</v>
      </c>
      <c r="B489" s="20" t="s">
        <v>14</v>
      </c>
      <c r="C489" s="19">
        <v>0</v>
      </c>
      <c r="D489" s="19"/>
      <c r="E489" s="19">
        <v>0</v>
      </c>
      <c r="F489" s="19"/>
      <c r="G489" s="19">
        <v>467</v>
      </c>
      <c r="H489" s="19"/>
      <c r="I489" s="19">
        <v>63393</v>
      </c>
      <c r="J489" s="19"/>
      <c r="K489" s="19">
        <f t="shared" si="9"/>
        <v>63860</v>
      </c>
      <c r="L489" s="19"/>
      <c r="M489" s="19">
        <v>11284</v>
      </c>
      <c r="N489" s="19"/>
      <c r="O489" s="19">
        <v>52576</v>
      </c>
      <c r="P489" s="19"/>
      <c r="Q489" s="19">
        <v>0</v>
      </c>
      <c r="R489" s="6"/>
    </row>
    <row r="490" spans="1:18" s="3" customFormat="1" ht="13.5" customHeight="1">
      <c r="A490" s="19" t="s">
        <v>283</v>
      </c>
      <c r="B490" s="20"/>
      <c r="C490" s="19">
        <v>0</v>
      </c>
      <c r="D490" s="19"/>
      <c r="E490" s="19">
        <v>0</v>
      </c>
      <c r="F490" s="19"/>
      <c r="G490" s="19">
        <v>0</v>
      </c>
      <c r="H490" s="19"/>
      <c r="I490" s="19">
        <v>995660</v>
      </c>
      <c r="J490" s="19"/>
      <c r="K490" s="19">
        <f t="shared" si="9"/>
        <v>995660</v>
      </c>
      <c r="L490" s="19"/>
      <c r="M490" s="19">
        <v>642064</v>
      </c>
      <c r="N490" s="19"/>
      <c r="O490" s="19">
        <f>1+353595</f>
        <v>353596</v>
      </c>
      <c r="P490" s="19"/>
      <c r="Q490" s="19">
        <v>0</v>
      </c>
      <c r="R490" s="6"/>
    </row>
    <row r="491" spans="1:18" s="3" customFormat="1" ht="13.5" customHeight="1">
      <c r="A491" s="19" t="s">
        <v>248</v>
      </c>
      <c r="B491" s="20"/>
      <c r="C491" s="19">
        <v>0</v>
      </c>
      <c r="D491" s="19"/>
      <c r="E491" s="19">
        <v>0</v>
      </c>
      <c r="F491" s="19"/>
      <c r="G491" s="19">
        <v>0</v>
      </c>
      <c r="H491" s="19"/>
      <c r="I491" s="19">
        <v>23652</v>
      </c>
      <c r="J491" s="19"/>
      <c r="K491" s="19">
        <f t="shared" si="9"/>
        <v>23652</v>
      </c>
      <c r="L491" s="19"/>
      <c r="M491" s="19">
        <v>0</v>
      </c>
      <c r="N491" s="19"/>
      <c r="O491" s="19">
        <v>23652</v>
      </c>
      <c r="P491" s="19"/>
      <c r="Q491" s="19">
        <v>0</v>
      </c>
      <c r="R491" s="6"/>
    </row>
    <row r="492" spans="1:18" s="3" customFormat="1" ht="13.5" customHeight="1">
      <c r="A492" s="19" t="s">
        <v>179</v>
      </c>
      <c r="B492" s="20" t="s">
        <v>14</v>
      </c>
      <c r="C492" s="19">
        <v>0</v>
      </c>
      <c r="D492" s="19"/>
      <c r="E492" s="19">
        <v>0</v>
      </c>
      <c r="F492" s="19"/>
      <c r="G492" s="19">
        <v>3744</v>
      </c>
      <c r="H492" s="19"/>
      <c r="I492" s="19">
        <v>0</v>
      </c>
      <c r="J492" s="19"/>
      <c r="K492" s="19">
        <f t="shared" si="9"/>
        <v>3744</v>
      </c>
      <c r="L492" s="19"/>
      <c r="M492" s="19">
        <v>3744</v>
      </c>
      <c r="N492" s="19"/>
      <c r="O492" s="19">
        <v>0</v>
      </c>
      <c r="P492" s="19"/>
      <c r="Q492" s="19">
        <v>0</v>
      </c>
      <c r="R492" s="6"/>
    </row>
    <row r="493" spans="1:18" s="3" customFormat="1" ht="13.5" customHeight="1">
      <c r="A493" s="19" t="s">
        <v>135</v>
      </c>
      <c r="B493" s="20"/>
      <c r="C493" s="19">
        <v>0</v>
      </c>
      <c r="D493" s="19"/>
      <c r="E493" s="19">
        <v>44</v>
      </c>
      <c r="F493" s="19"/>
      <c r="G493" s="19">
        <v>10055</v>
      </c>
      <c r="H493" s="19"/>
      <c r="I493" s="19">
        <v>0</v>
      </c>
      <c r="J493" s="19"/>
      <c r="K493" s="19">
        <f t="shared" si="9"/>
        <v>10099</v>
      </c>
      <c r="L493" s="19"/>
      <c r="M493" s="19">
        <v>0</v>
      </c>
      <c r="N493" s="19"/>
      <c r="O493" s="19">
        <v>10099</v>
      </c>
      <c r="P493" s="19"/>
      <c r="Q493" s="19">
        <v>0</v>
      </c>
      <c r="R493" s="6"/>
    </row>
    <row r="494" spans="1:18" s="3" customFormat="1" ht="13.5" customHeight="1">
      <c r="A494" s="19" t="s">
        <v>130</v>
      </c>
      <c r="B494" s="20" t="s">
        <v>14</v>
      </c>
      <c r="C494" s="19">
        <v>0</v>
      </c>
      <c r="D494" s="19"/>
      <c r="E494" s="19">
        <v>0</v>
      </c>
      <c r="F494" s="19"/>
      <c r="G494" s="19">
        <v>0</v>
      </c>
      <c r="H494" s="19"/>
      <c r="I494" s="19">
        <v>54790</v>
      </c>
      <c r="J494" s="19"/>
      <c r="K494" s="19">
        <f t="shared" si="9"/>
        <v>54790</v>
      </c>
      <c r="L494" s="19"/>
      <c r="M494" s="19">
        <v>34981</v>
      </c>
      <c r="N494" s="19"/>
      <c r="O494" s="19">
        <f>19810-1</f>
        <v>19809</v>
      </c>
      <c r="P494" s="19"/>
      <c r="Q494" s="19">
        <v>0</v>
      </c>
      <c r="R494" s="6"/>
    </row>
    <row r="495" spans="1:18" s="3" customFormat="1" ht="13.5" customHeight="1">
      <c r="A495" s="19" t="s">
        <v>120</v>
      </c>
      <c r="B495" s="20" t="s">
        <v>14</v>
      </c>
      <c r="C495" s="19">
        <v>0</v>
      </c>
      <c r="D495" s="19"/>
      <c r="E495" s="19">
        <v>0</v>
      </c>
      <c r="F495" s="19"/>
      <c r="G495" s="19">
        <v>113</v>
      </c>
      <c r="H495" s="19"/>
      <c r="I495" s="19">
        <v>0</v>
      </c>
      <c r="J495" s="19"/>
      <c r="K495" s="19">
        <f t="shared" si="9"/>
        <v>113</v>
      </c>
      <c r="L495" s="19"/>
      <c r="M495" s="19">
        <v>0</v>
      </c>
      <c r="N495" s="19"/>
      <c r="O495" s="19">
        <v>113</v>
      </c>
      <c r="P495" s="19"/>
      <c r="Q495" s="19">
        <v>0</v>
      </c>
      <c r="R495" s="6"/>
    </row>
    <row r="496" spans="1:18" s="3" customFormat="1" ht="13.5" customHeight="1">
      <c r="A496" s="19" t="s">
        <v>131</v>
      </c>
      <c r="B496" s="20" t="s">
        <v>14</v>
      </c>
      <c r="C496" s="19">
        <v>0</v>
      </c>
      <c r="D496" s="19"/>
      <c r="E496" s="19">
        <v>130388</v>
      </c>
      <c r="F496" s="19"/>
      <c r="G496" s="19">
        <v>39120</v>
      </c>
      <c r="H496" s="19"/>
      <c r="I496" s="19">
        <v>738976</v>
      </c>
      <c r="J496" s="19"/>
      <c r="K496" s="19">
        <f t="shared" si="9"/>
        <v>908484</v>
      </c>
      <c r="L496" s="19"/>
      <c r="M496" s="19">
        <v>156938</v>
      </c>
      <c r="N496" s="19"/>
      <c r="O496" s="19">
        <v>743365</v>
      </c>
      <c r="P496" s="19"/>
      <c r="Q496" s="19">
        <v>8181</v>
      </c>
      <c r="R496" s="6"/>
    </row>
    <row r="497" spans="1:18" s="3" customFormat="1" ht="13.5" customHeight="1">
      <c r="A497" s="19" t="s">
        <v>216</v>
      </c>
      <c r="B497" s="20" t="s">
        <v>14</v>
      </c>
      <c r="C497" s="22">
        <v>0</v>
      </c>
      <c r="D497" s="19"/>
      <c r="E497" s="22">
        <v>0</v>
      </c>
      <c r="F497" s="19"/>
      <c r="G497" s="22">
        <v>0</v>
      </c>
      <c r="H497" s="19"/>
      <c r="I497" s="22">
        <v>2581028</v>
      </c>
      <c r="J497" s="19"/>
      <c r="K497" s="22">
        <f t="shared" si="9"/>
        <v>2581028</v>
      </c>
      <c r="L497" s="19"/>
      <c r="M497" s="22">
        <v>1758702</v>
      </c>
      <c r="N497" s="19"/>
      <c r="O497" s="22">
        <v>822326</v>
      </c>
      <c r="P497" s="19"/>
      <c r="Q497" s="22">
        <v>0</v>
      </c>
      <c r="R497" s="6"/>
    </row>
    <row r="498" spans="1:18" s="3" customFormat="1" ht="13.5" customHeight="1">
      <c r="A498" s="19" t="s">
        <v>175</v>
      </c>
      <c r="B498" s="20" t="s">
        <v>14</v>
      </c>
      <c r="C498" s="22">
        <f>SUM(C488:C497)</f>
        <v>0</v>
      </c>
      <c r="D498" s="19"/>
      <c r="E498" s="22">
        <f>SUM(E488:E497)</f>
        <v>130432</v>
      </c>
      <c r="F498" s="19"/>
      <c r="G498" s="22">
        <f>SUM(G488:G497)</f>
        <v>98771</v>
      </c>
      <c r="H498" s="19"/>
      <c r="I498" s="22">
        <f>SUM(I488:I497)</f>
        <v>4847205</v>
      </c>
      <c r="J498" s="19"/>
      <c r="K498" s="23">
        <f t="shared" si="9"/>
        <v>5076408</v>
      </c>
      <c r="L498" s="19"/>
      <c r="M498" s="22">
        <f>SUM(M488:M497)</f>
        <v>2880076</v>
      </c>
      <c r="N498" s="19"/>
      <c r="O498" s="22">
        <f>SUM(O488:O497)</f>
        <v>2188151</v>
      </c>
      <c r="P498" s="19"/>
      <c r="Q498" s="22">
        <f>SUM(Q488:Q497)</f>
        <v>8181</v>
      </c>
      <c r="R498" s="6"/>
    </row>
    <row r="499" spans="1:18" s="3" customFormat="1" ht="13.5" customHeight="1">
      <c r="A499" s="19"/>
      <c r="B499" s="20"/>
      <c r="C499" s="24"/>
      <c r="D499" s="19"/>
      <c r="E499" s="24"/>
      <c r="F499" s="19"/>
      <c r="G499" s="24"/>
      <c r="H499" s="19"/>
      <c r="I499" s="24"/>
      <c r="J499" s="19"/>
      <c r="K499" s="19"/>
      <c r="L499" s="19"/>
      <c r="M499" s="24"/>
      <c r="N499" s="19"/>
      <c r="O499" s="24"/>
      <c r="P499" s="19"/>
      <c r="Q499" s="24"/>
      <c r="R499" s="6"/>
    </row>
    <row r="500" spans="1:18" s="3" customFormat="1" ht="13.5" customHeight="1">
      <c r="A500" s="19" t="s">
        <v>308</v>
      </c>
      <c r="B500" s="20"/>
      <c r="C500" s="25">
        <v>-2645</v>
      </c>
      <c r="D500" s="19"/>
      <c r="E500" s="25">
        <v>0</v>
      </c>
      <c r="F500" s="19"/>
      <c r="G500" s="25">
        <v>0</v>
      </c>
      <c r="H500" s="19"/>
      <c r="I500" s="25">
        <v>0</v>
      </c>
      <c r="J500" s="19"/>
      <c r="K500" s="25">
        <f t="shared" si="9"/>
        <v>-2645</v>
      </c>
      <c r="L500" s="19"/>
      <c r="M500" s="25">
        <v>-2645</v>
      </c>
      <c r="N500" s="19"/>
      <c r="O500" s="25">
        <v>0</v>
      </c>
      <c r="P500" s="19"/>
      <c r="Q500" s="25">
        <v>0</v>
      </c>
      <c r="R500" s="6"/>
    </row>
    <row r="501" spans="1:18" s="3" customFormat="1" ht="13.5" customHeight="1">
      <c r="A501" s="19"/>
      <c r="B501" s="20"/>
      <c r="C501" s="24"/>
      <c r="D501" s="19"/>
      <c r="E501" s="24"/>
      <c r="F501" s="19"/>
      <c r="G501" s="24"/>
      <c r="H501" s="19"/>
      <c r="I501" s="24"/>
      <c r="J501" s="19"/>
      <c r="K501" s="19"/>
      <c r="L501" s="19"/>
      <c r="M501" s="24"/>
      <c r="N501" s="19"/>
      <c r="O501" s="24"/>
      <c r="P501" s="19"/>
      <c r="Q501" s="24"/>
      <c r="R501" s="6"/>
    </row>
    <row r="502" spans="1:18" s="3" customFormat="1" ht="13.5" customHeight="1">
      <c r="A502" s="19" t="s">
        <v>168</v>
      </c>
      <c r="B502" s="20" t="s">
        <v>14</v>
      </c>
      <c r="C502" s="22">
        <f>SUM(C498,C485,C480,C482,C478,C476,C474,C472,C470,C500)</f>
        <v>-2645</v>
      </c>
      <c r="D502" s="19"/>
      <c r="E502" s="22">
        <f>SUM(E498,E485,E480,E482,E478,E476,E474,E472,E470,E500)</f>
        <v>575193</v>
      </c>
      <c r="F502" s="19"/>
      <c r="G502" s="22">
        <f>SUM(G498,G485,G480,G482,G478,G476,G474,G472,G470,G500)</f>
        <v>102809</v>
      </c>
      <c r="H502" s="19"/>
      <c r="I502" s="22">
        <f>SUM(I498,I485,I480,I482,I478,I476,I474,I472,I470,I500)</f>
        <v>5952069</v>
      </c>
      <c r="J502" s="19"/>
      <c r="K502" s="22">
        <f>SUM(K498,K485,K480,K482,K478,K476,K474,K472,K470,K500)</f>
        <v>6627426</v>
      </c>
      <c r="L502" s="19"/>
      <c r="M502" s="22">
        <f>SUM(M498,M485,M480,M482,M478,M476,M474,M472,M470,M500)</f>
        <v>3737163</v>
      </c>
      <c r="N502" s="19"/>
      <c r="O502" s="22">
        <f>SUM(O498,O485,O480,O482,O478,O476,O474,O472,O470,O500)</f>
        <v>2746755</v>
      </c>
      <c r="P502" s="19"/>
      <c r="Q502" s="22">
        <f>SUM(Q498,Q485,Q480,Q482,Q478,Q476,Q474,Q472,Q470,Q500)</f>
        <v>143508</v>
      </c>
      <c r="R502" s="6"/>
    </row>
    <row r="503" spans="1:18" s="3" customFormat="1" ht="13.5" customHeight="1">
      <c r="A503" s="19"/>
      <c r="B503" s="20" t="s">
        <v>14</v>
      </c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6"/>
    </row>
    <row r="504" spans="1:18" s="3" customFormat="1" ht="13.5" customHeight="1">
      <c r="A504" s="19" t="s">
        <v>204</v>
      </c>
      <c r="B504" s="20" t="s">
        <v>14</v>
      </c>
      <c r="C504" s="19" t="s">
        <v>14</v>
      </c>
      <c r="D504" s="19"/>
      <c r="E504" s="19" t="s">
        <v>14</v>
      </c>
      <c r="F504" s="19"/>
      <c r="G504" s="19" t="s">
        <v>14</v>
      </c>
      <c r="H504" s="19"/>
      <c r="I504" s="19" t="s">
        <v>14</v>
      </c>
      <c r="J504" s="19"/>
      <c r="K504" s="19"/>
      <c r="L504" s="19"/>
      <c r="M504" s="19" t="s">
        <v>14</v>
      </c>
      <c r="N504" s="19"/>
      <c r="O504" s="19" t="s">
        <v>14</v>
      </c>
      <c r="P504" s="19"/>
      <c r="Q504" s="19" t="s">
        <v>14</v>
      </c>
      <c r="R504" s="6"/>
    </row>
    <row r="505" spans="1:18" s="3" customFormat="1" ht="13.5" customHeight="1">
      <c r="A505" s="19" t="s">
        <v>29</v>
      </c>
      <c r="B505" s="20" t="s">
        <v>14</v>
      </c>
      <c r="C505" s="19"/>
      <c r="D505" s="19"/>
      <c r="E505" s="19" t="s">
        <v>14</v>
      </c>
      <c r="F505" s="19"/>
      <c r="G505" s="19" t="s">
        <v>14</v>
      </c>
      <c r="H505" s="19"/>
      <c r="I505" s="19" t="s">
        <v>14</v>
      </c>
      <c r="J505" s="19"/>
      <c r="K505" s="19"/>
      <c r="L505" s="19"/>
      <c r="M505" s="19" t="s">
        <v>14</v>
      </c>
      <c r="N505" s="19"/>
      <c r="O505" s="19" t="s">
        <v>14</v>
      </c>
      <c r="P505" s="19"/>
      <c r="Q505" s="19" t="s">
        <v>14</v>
      </c>
      <c r="R505" s="6"/>
    </row>
    <row r="506" spans="1:18" s="3" customFormat="1" ht="13.5" customHeight="1">
      <c r="A506" s="19" t="s">
        <v>132</v>
      </c>
      <c r="B506" s="20" t="s">
        <v>14</v>
      </c>
      <c r="C506" s="19">
        <v>0</v>
      </c>
      <c r="D506" s="19"/>
      <c r="E506" s="19">
        <v>1670</v>
      </c>
      <c r="F506" s="19"/>
      <c r="G506" s="19">
        <v>38421</v>
      </c>
      <c r="H506" s="19"/>
      <c r="I506" s="19">
        <v>0</v>
      </c>
      <c r="J506" s="19"/>
      <c r="K506" s="19">
        <f t="shared" si="9"/>
        <v>40091</v>
      </c>
      <c r="L506" s="19"/>
      <c r="M506" s="19">
        <v>2101</v>
      </c>
      <c r="N506" s="19"/>
      <c r="O506" s="19">
        <f>1+37885</f>
        <v>37886</v>
      </c>
      <c r="P506" s="19"/>
      <c r="Q506" s="19">
        <v>104</v>
      </c>
      <c r="R506" s="6"/>
    </row>
    <row r="507" spans="1:18" s="3" customFormat="1" ht="13.5" customHeight="1">
      <c r="A507" s="19" t="s">
        <v>240</v>
      </c>
      <c r="B507" s="20" t="s">
        <v>14</v>
      </c>
      <c r="C507" s="19">
        <v>0</v>
      </c>
      <c r="D507" s="19"/>
      <c r="E507" s="19">
        <v>6624</v>
      </c>
      <c r="F507" s="19"/>
      <c r="G507" s="19">
        <v>10086</v>
      </c>
      <c r="H507" s="19"/>
      <c r="I507" s="19">
        <v>308999</v>
      </c>
      <c r="J507" s="19"/>
      <c r="K507" s="19">
        <f t="shared" si="9"/>
        <v>325709</v>
      </c>
      <c r="L507" s="19"/>
      <c r="M507" s="19">
        <v>153354</v>
      </c>
      <c r="N507" s="19"/>
      <c r="O507" s="19">
        <v>171941</v>
      </c>
      <c r="P507" s="19"/>
      <c r="Q507" s="19">
        <v>414</v>
      </c>
      <c r="R507" s="6"/>
    </row>
    <row r="508" spans="1:18" s="3" customFormat="1" ht="13.5" customHeight="1">
      <c r="A508" s="19" t="s">
        <v>256</v>
      </c>
      <c r="B508" s="20" t="s">
        <v>14</v>
      </c>
      <c r="C508" s="19">
        <v>0</v>
      </c>
      <c r="D508" s="19"/>
      <c r="E508" s="19">
        <v>0</v>
      </c>
      <c r="F508" s="19"/>
      <c r="G508" s="19">
        <v>154588</v>
      </c>
      <c r="H508" s="19"/>
      <c r="I508" s="19">
        <v>53152</v>
      </c>
      <c r="J508" s="19"/>
      <c r="K508" s="19">
        <f t="shared" si="9"/>
        <v>207740</v>
      </c>
      <c r="L508" s="19"/>
      <c r="M508" s="19">
        <v>6950</v>
      </c>
      <c r="N508" s="19"/>
      <c r="O508" s="19">
        <f>200791-1</f>
        <v>200790</v>
      </c>
      <c r="P508" s="19"/>
      <c r="Q508" s="19">
        <v>0</v>
      </c>
      <c r="R508" s="6"/>
    </row>
    <row r="509" spans="1:18" s="3" customFormat="1" ht="13.5" customHeight="1">
      <c r="A509" s="19" t="s">
        <v>291</v>
      </c>
      <c r="B509" s="20"/>
      <c r="C509" s="19">
        <v>0</v>
      </c>
      <c r="D509" s="19"/>
      <c r="E509" s="19">
        <v>1534</v>
      </c>
      <c r="F509" s="19"/>
      <c r="G509" s="19">
        <v>0</v>
      </c>
      <c r="H509" s="19"/>
      <c r="I509" s="19">
        <v>3000</v>
      </c>
      <c r="J509" s="19"/>
      <c r="K509" s="19">
        <f t="shared" si="9"/>
        <v>4534</v>
      </c>
      <c r="L509" s="19"/>
      <c r="M509" s="19">
        <v>1438</v>
      </c>
      <c r="N509" s="19"/>
      <c r="O509" s="19">
        <v>3000</v>
      </c>
      <c r="P509" s="19"/>
      <c r="Q509" s="19">
        <v>96</v>
      </c>
      <c r="R509" s="6"/>
    </row>
    <row r="510" spans="1:18" s="3" customFormat="1" ht="13.5" customHeight="1">
      <c r="A510" s="19" t="s">
        <v>241</v>
      </c>
      <c r="B510" s="20" t="s">
        <v>14</v>
      </c>
      <c r="C510" s="19">
        <v>0</v>
      </c>
      <c r="D510" s="19"/>
      <c r="E510" s="19">
        <v>16000</v>
      </c>
      <c r="F510" s="19"/>
      <c r="G510" s="19">
        <v>0</v>
      </c>
      <c r="H510" s="19"/>
      <c r="I510" s="19">
        <v>1007164</v>
      </c>
      <c r="J510" s="19"/>
      <c r="K510" s="19">
        <f t="shared" si="9"/>
        <v>1023164</v>
      </c>
      <c r="L510" s="19"/>
      <c r="M510" s="19">
        <v>819556</v>
      </c>
      <c r="N510" s="19"/>
      <c r="O510" s="19">
        <v>202608</v>
      </c>
      <c r="P510" s="19"/>
      <c r="Q510" s="19">
        <v>1000</v>
      </c>
      <c r="R510" s="6"/>
    </row>
    <row r="511" spans="1:18" s="3" customFormat="1" ht="13.5" customHeight="1">
      <c r="A511" s="19" t="s">
        <v>257</v>
      </c>
      <c r="B511" s="20" t="s">
        <v>14</v>
      </c>
      <c r="C511" s="25">
        <v>0</v>
      </c>
      <c r="D511" s="19"/>
      <c r="E511" s="25">
        <v>4404</v>
      </c>
      <c r="F511" s="19"/>
      <c r="G511" s="25">
        <v>6019</v>
      </c>
      <c r="H511" s="19"/>
      <c r="I511" s="25">
        <v>1615313</v>
      </c>
      <c r="J511" s="19"/>
      <c r="K511" s="19">
        <f t="shared" si="9"/>
        <v>1625736</v>
      </c>
      <c r="L511" s="19"/>
      <c r="M511" s="25">
        <v>1536897</v>
      </c>
      <c r="N511" s="19"/>
      <c r="O511" s="25">
        <f>1+88563</f>
        <v>88564</v>
      </c>
      <c r="P511" s="19"/>
      <c r="Q511" s="25">
        <v>275</v>
      </c>
      <c r="R511" s="6"/>
    </row>
    <row r="512" spans="1:18" s="3" customFormat="1" ht="13.5" customHeight="1">
      <c r="A512" s="19" t="s">
        <v>169</v>
      </c>
      <c r="B512" s="20" t="s">
        <v>14</v>
      </c>
      <c r="C512" s="22">
        <f>SUM(C506:C511)</f>
        <v>0</v>
      </c>
      <c r="D512" s="19"/>
      <c r="E512" s="22">
        <f>SUM(E506:E511)</f>
        <v>30232</v>
      </c>
      <c r="F512" s="19"/>
      <c r="G512" s="22">
        <f>SUM(G506:G511)</f>
        <v>209114</v>
      </c>
      <c r="H512" s="19"/>
      <c r="I512" s="22">
        <f>SUM(I506:I511)</f>
        <v>2987628</v>
      </c>
      <c r="J512" s="19"/>
      <c r="K512" s="23">
        <f t="shared" si="9"/>
        <v>3226974</v>
      </c>
      <c r="L512" s="19"/>
      <c r="M512" s="22">
        <f>SUM(M506:M511)</f>
        <v>2520296</v>
      </c>
      <c r="N512" s="19"/>
      <c r="O512" s="22">
        <f>SUM(O506:O511)</f>
        <v>704789</v>
      </c>
      <c r="P512" s="19"/>
      <c r="Q512" s="22">
        <f>SUM(Q506:Q511)</f>
        <v>1889</v>
      </c>
      <c r="R512" s="6"/>
    </row>
    <row r="513" spans="1:18" s="3" customFormat="1" ht="13.5" customHeight="1">
      <c r="A513" s="19"/>
      <c r="B513" s="20" t="s">
        <v>14</v>
      </c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6"/>
    </row>
    <row r="514" spans="1:18" s="3" customFormat="1" ht="13.5" customHeight="1">
      <c r="A514" s="19" t="s">
        <v>30</v>
      </c>
      <c r="B514" s="20" t="s">
        <v>14</v>
      </c>
      <c r="C514" s="19"/>
      <c r="D514" s="19"/>
      <c r="E514" s="19"/>
      <c r="F514" s="19"/>
      <c r="G514" s="19"/>
      <c r="H514" s="19"/>
      <c r="I514" s="19"/>
      <c r="J514" s="19"/>
      <c r="K514" s="24"/>
      <c r="L514" s="19"/>
      <c r="M514" s="19"/>
      <c r="N514" s="19"/>
      <c r="O514" s="19"/>
      <c r="P514" s="19"/>
      <c r="Q514" s="19"/>
      <c r="R514" s="6"/>
    </row>
    <row r="515" spans="1:18" s="3" customFormat="1" ht="13.5" customHeight="1">
      <c r="A515" s="19" t="s">
        <v>133</v>
      </c>
      <c r="B515" s="20" t="s">
        <v>14</v>
      </c>
      <c r="C515" s="24">
        <v>0</v>
      </c>
      <c r="D515" s="19"/>
      <c r="E515" s="24">
        <v>9540</v>
      </c>
      <c r="F515" s="19"/>
      <c r="G515" s="24">
        <v>0</v>
      </c>
      <c r="H515" s="19"/>
      <c r="I515" s="24">
        <v>472717</v>
      </c>
      <c r="J515" s="19"/>
      <c r="K515" s="24">
        <f t="shared" si="9"/>
        <v>482257</v>
      </c>
      <c r="L515" s="19"/>
      <c r="M515" s="24">
        <v>433179</v>
      </c>
      <c r="N515" s="19"/>
      <c r="O515" s="24">
        <v>48482</v>
      </c>
      <c r="P515" s="19"/>
      <c r="Q515" s="24">
        <v>596</v>
      </c>
      <c r="R515" s="6"/>
    </row>
    <row r="516" spans="1:18" s="3" customFormat="1" ht="13.5" customHeight="1">
      <c r="A516" s="19" t="s">
        <v>306</v>
      </c>
      <c r="B516" s="20"/>
      <c r="C516" s="24">
        <v>0</v>
      </c>
      <c r="D516" s="19"/>
      <c r="E516" s="24">
        <v>0</v>
      </c>
      <c r="F516" s="19"/>
      <c r="G516" s="24">
        <v>0</v>
      </c>
      <c r="H516" s="19"/>
      <c r="I516" s="24">
        <v>22609</v>
      </c>
      <c r="J516" s="19"/>
      <c r="K516" s="24">
        <f t="shared" si="9"/>
        <v>22609</v>
      </c>
      <c r="L516" s="19"/>
      <c r="M516" s="24">
        <v>0</v>
      </c>
      <c r="N516" s="19"/>
      <c r="O516" s="24">
        <v>22609</v>
      </c>
      <c r="P516" s="19"/>
      <c r="Q516" s="24">
        <v>0</v>
      </c>
      <c r="R516" s="6"/>
    </row>
    <row r="517" spans="1:18" s="3" customFormat="1" ht="13.5" customHeight="1">
      <c r="A517" s="19" t="s">
        <v>309</v>
      </c>
      <c r="B517" s="20"/>
      <c r="C517" s="39">
        <f>SUM(C515:C516)</f>
        <v>0</v>
      </c>
      <c r="D517" s="19"/>
      <c r="E517" s="39">
        <f>SUM(E515:E516)</f>
        <v>9540</v>
      </c>
      <c r="F517" s="19"/>
      <c r="G517" s="39">
        <f>SUM(G515:G516)</f>
        <v>0</v>
      </c>
      <c r="H517" s="19"/>
      <c r="I517" s="39">
        <f>SUM(I515:I516)</f>
        <v>495326</v>
      </c>
      <c r="J517" s="19"/>
      <c r="K517" s="39">
        <f>SUM(K515:K516)</f>
        <v>504866</v>
      </c>
      <c r="L517" s="19"/>
      <c r="M517" s="39">
        <f>SUM(M515:M516)</f>
        <v>433179</v>
      </c>
      <c r="N517" s="19"/>
      <c r="O517" s="39">
        <f>SUM(O515:O516)</f>
        <v>71091</v>
      </c>
      <c r="P517" s="19"/>
      <c r="Q517" s="39">
        <f>SUM(Q515:Q516)</f>
        <v>596</v>
      </c>
      <c r="R517" s="6"/>
    </row>
    <row r="518" spans="1:18" s="3" customFormat="1" ht="13.5" customHeight="1">
      <c r="A518" s="19"/>
      <c r="B518" s="20" t="s">
        <v>14</v>
      </c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6"/>
    </row>
    <row r="519" spans="1:18" s="3" customFormat="1" ht="13.5" customHeight="1">
      <c r="A519" s="19" t="s">
        <v>31</v>
      </c>
      <c r="B519" s="20" t="s">
        <v>14</v>
      </c>
      <c r="C519" s="19" t="s">
        <v>14</v>
      </c>
      <c r="D519" s="19"/>
      <c r="E519" s="19" t="s">
        <v>14</v>
      </c>
      <c r="F519" s="19"/>
      <c r="G519" s="19" t="s">
        <v>14</v>
      </c>
      <c r="H519" s="19"/>
      <c r="I519" s="19" t="s">
        <v>14</v>
      </c>
      <c r="J519" s="19"/>
      <c r="K519" s="19"/>
      <c r="L519" s="19"/>
      <c r="M519" s="19" t="s">
        <v>14</v>
      </c>
      <c r="N519" s="19"/>
      <c r="O519" s="19" t="s">
        <v>14</v>
      </c>
      <c r="P519" s="19"/>
      <c r="Q519" s="19" t="s">
        <v>14</v>
      </c>
      <c r="R519" s="6"/>
    </row>
    <row r="520" spans="1:18" s="3" customFormat="1" ht="13.5" customHeight="1">
      <c r="A520" s="19" t="s">
        <v>134</v>
      </c>
      <c r="B520" s="20" t="s">
        <v>14</v>
      </c>
      <c r="C520" s="19">
        <v>0</v>
      </c>
      <c r="D520" s="19"/>
      <c r="E520" s="19">
        <v>1913</v>
      </c>
      <c r="F520" s="19"/>
      <c r="G520" s="19">
        <v>0</v>
      </c>
      <c r="H520" s="19"/>
      <c r="I520" s="19">
        <v>15704</v>
      </c>
      <c r="J520" s="19"/>
      <c r="K520" s="24">
        <f t="shared" si="9"/>
        <v>17617</v>
      </c>
      <c r="L520" s="19"/>
      <c r="M520" s="19">
        <v>1793</v>
      </c>
      <c r="N520" s="19"/>
      <c r="O520" s="19">
        <v>15704</v>
      </c>
      <c r="P520" s="19"/>
      <c r="Q520" s="19">
        <v>120</v>
      </c>
      <c r="R520" s="6"/>
    </row>
    <row r="521" spans="1:18" s="3" customFormat="1" ht="13.5" customHeight="1">
      <c r="A521" s="19" t="s">
        <v>258</v>
      </c>
      <c r="B521" s="20"/>
      <c r="C521" s="19">
        <v>0</v>
      </c>
      <c r="D521" s="19"/>
      <c r="E521" s="19">
        <v>1339</v>
      </c>
      <c r="F521" s="19"/>
      <c r="G521" s="19">
        <v>0</v>
      </c>
      <c r="H521" s="19"/>
      <c r="I521" s="19">
        <v>0</v>
      </c>
      <c r="J521" s="19"/>
      <c r="K521" s="24">
        <f t="shared" si="9"/>
        <v>1339</v>
      </c>
      <c r="L521" s="19"/>
      <c r="M521" s="19">
        <v>1255</v>
      </c>
      <c r="N521" s="19"/>
      <c r="O521" s="19">
        <v>0</v>
      </c>
      <c r="P521" s="19"/>
      <c r="Q521" s="19">
        <v>84</v>
      </c>
      <c r="R521" s="6"/>
    </row>
    <row r="522" spans="1:18" s="3" customFormat="1" ht="13.5" customHeight="1">
      <c r="A522" s="19" t="s">
        <v>206</v>
      </c>
      <c r="B522" s="20" t="s">
        <v>14</v>
      </c>
      <c r="C522" s="23">
        <f>SUM(C520:C521)</f>
        <v>0</v>
      </c>
      <c r="D522" s="19"/>
      <c r="E522" s="23">
        <f>SUM(E520:E521)</f>
        <v>3252</v>
      </c>
      <c r="F522" s="19"/>
      <c r="G522" s="23">
        <f>SUM(G520:G521)</f>
        <v>0</v>
      </c>
      <c r="H522" s="19"/>
      <c r="I522" s="23">
        <f>SUM(I520:I521)</f>
        <v>15704</v>
      </c>
      <c r="J522" s="19"/>
      <c r="K522" s="23">
        <f t="shared" si="9"/>
        <v>18956</v>
      </c>
      <c r="L522" s="19"/>
      <c r="M522" s="23">
        <f>SUM(M520:M521)</f>
        <v>3048</v>
      </c>
      <c r="N522" s="19"/>
      <c r="O522" s="23">
        <f>SUM(O520:O521)</f>
        <v>15704</v>
      </c>
      <c r="P522" s="19"/>
      <c r="Q522" s="23">
        <f>SUM(Q520:Q521)</f>
        <v>204</v>
      </c>
      <c r="R522" s="6"/>
    </row>
    <row r="523" spans="1:18" s="3" customFormat="1" ht="13.5" customHeight="1">
      <c r="A523" s="19"/>
      <c r="B523" s="20"/>
      <c r="C523" s="24"/>
      <c r="D523" s="19"/>
      <c r="E523" s="24"/>
      <c r="F523" s="19"/>
      <c r="G523" s="24"/>
      <c r="H523" s="19"/>
      <c r="I523" s="24"/>
      <c r="J523" s="19"/>
      <c r="K523" s="19"/>
      <c r="L523" s="19"/>
      <c r="M523" s="24"/>
      <c r="N523" s="19"/>
      <c r="O523" s="24"/>
      <c r="P523" s="19"/>
      <c r="Q523" s="24"/>
      <c r="R523" s="6"/>
    </row>
    <row r="524" spans="1:18" s="3" customFormat="1" ht="13.5" customHeight="1">
      <c r="A524" s="19" t="s">
        <v>266</v>
      </c>
      <c r="B524" s="20" t="s">
        <v>14</v>
      </c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6"/>
    </row>
    <row r="525" spans="1:18" s="3" customFormat="1" ht="13.5" customHeight="1">
      <c r="A525" s="19" t="s">
        <v>249</v>
      </c>
      <c r="B525" s="20" t="s">
        <v>14</v>
      </c>
      <c r="C525" s="22">
        <v>0</v>
      </c>
      <c r="D525" s="19"/>
      <c r="E525" s="22">
        <v>6919</v>
      </c>
      <c r="F525" s="19"/>
      <c r="G525" s="22">
        <v>0</v>
      </c>
      <c r="H525" s="19"/>
      <c r="I525" s="22">
        <v>0</v>
      </c>
      <c r="J525" s="19"/>
      <c r="K525" s="22">
        <f t="shared" si="9"/>
        <v>6919</v>
      </c>
      <c r="L525" s="19"/>
      <c r="M525" s="22">
        <v>6487</v>
      </c>
      <c r="N525" s="19"/>
      <c r="O525" s="22">
        <v>0</v>
      </c>
      <c r="P525" s="19"/>
      <c r="Q525" s="22">
        <v>432</v>
      </c>
      <c r="R525" s="6"/>
    </row>
    <row r="526" spans="1:18" s="3" customFormat="1" ht="13.5" customHeight="1">
      <c r="A526" s="19"/>
      <c r="B526" s="20" t="s">
        <v>14</v>
      </c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6"/>
    </row>
    <row r="527" spans="1:18" s="3" customFormat="1" ht="13.5" customHeight="1">
      <c r="A527" s="19" t="s">
        <v>32</v>
      </c>
      <c r="B527" s="20" t="s">
        <v>14</v>
      </c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6"/>
    </row>
    <row r="528" spans="1:18" s="3" customFormat="1" ht="13.5" customHeight="1">
      <c r="A528" s="19" t="s">
        <v>135</v>
      </c>
      <c r="B528" s="20" t="s">
        <v>14</v>
      </c>
      <c r="C528" s="24">
        <v>0</v>
      </c>
      <c r="D528" s="19"/>
      <c r="E528" s="24">
        <v>0</v>
      </c>
      <c r="F528" s="19"/>
      <c r="G528" s="24">
        <v>71262</v>
      </c>
      <c r="H528" s="19"/>
      <c r="I528" s="24">
        <v>0</v>
      </c>
      <c r="J528" s="19"/>
      <c r="K528" s="19">
        <f t="shared" si="9"/>
        <v>71262</v>
      </c>
      <c r="L528" s="19"/>
      <c r="M528" s="24">
        <v>45458</v>
      </c>
      <c r="N528" s="19"/>
      <c r="O528" s="24">
        <v>25804</v>
      </c>
      <c r="P528" s="19"/>
      <c r="Q528" s="24">
        <v>0</v>
      </c>
      <c r="R528" s="6"/>
    </row>
    <row r="529" spans="1:18" s="3" customFormat="1" ht="13.5" customHeight="1">
      <c r="A529" s="24" t="s">
        <v>121</v>
      </c>
      <c r="B529" s="27"/>
      <c r="C529" s="24">
        <v>0</v>
      </c>
      <c r="D529" s="24"/>
      <c r="E529" s="24">
        <v>0</v>
      </c>
      <c r="F529" s="24"/>
      <c r="G529" s="24">
        <v>52453</v>
      </c>
      <c r="H529" s="24"/>
      <c r="I529" s="24">
        <v>0</v>
      </c>
      <c r="J529" s="24"/>
      <c r="K529" s="19">
        <f t="shared" si="9"/>
        <v>52453</v>
      </c>
      <c r="L529" s="24"/>
      <c r="M529" s="24">
        <v>12468</v>
      </c>
      <c r="N529" s="24"/>
      <c r="O529" s="24">
        <v>39985</v>
      </c>
      <c r="P529" s="24"/>
      <c r="Q529" s="24">
        <v>0</v>
      </c>
      <c r="R529" s="6"/>
    </row>
    <row r="530" spans="1:18" s="3" customFormat="1" ht="13.5" customHeight="1">
      <c r="A530" s="24" t="s">
        <v>125</v>
      </c>
      <c r="B530" s="27"/>
      <c r="C530" s="22">
        <v>0</v>
      </c>
      <c r="D530" s="24"/>
      <c r="E530" s="22">
        <v>0</v>
      </c>
      <c r="F530" s="24"/>
      <c r="G530" s="22">
        <v>107538</v>
      </c>
      <c r="H530" s="24"/>
      <c r="I530" s="22">
        <v>0</v>
      </c>
      <c r="J530" s="24"/>
      <c r="K530" s="22">
        <f t="shared" si="9"/>
        <v>107538</v>
      </c>
      <c r="L530" s="24"/>
      <c r="M530" s="22">
        <v>91974</v>
      </c>
      <c r="N530" s="24"/>
      <c r="O530" s="22">
        <f>1+15563</f>
        <v>15564</v>
      </c>
      <c r="P530" s="24"/>
      <c r="Q530" s="22">
        <v>0</v>
      </c>
      <c r="R530" s="6"/>
    </row>
    <row r="531" spans="1:18" s="3" customFormat="1" ht="13.5" customHeight="1">
      <c r="A531" s="19" t="s">
        <v>176</v>
      </c>
      <c r="B531" s="20" t="s">
        <v>14</v>
      </c>
      <c r="C531" s="22">
        <f>SUM(C528:C530)</f>
        <v>0</v>
      </c>
      <c r="D531" s="19"/>
      <c r="E531" s="22">
        <f>SUM(E528:E530)</f>
        <v>0</v>
      </c>
      <c r="F531" s="19"/>
      <c r="G531" s="22">
        <f>SUM(G528:G530)</f>
        <v>231253</v>
      </c>
      <c r="H531" s="19"/>
      <c r="I531" s="22">
        <f>SUM(I528:I530)</f>
        <v>0</v>
      </c>
      <c r="J531" s="19"/>
      <c r="K531" s="23">
        <f t="shared" si="9"/>
        <v>231253</v>
      </c>
      <c r="L531" s="19"/>
      <c r="M531" s="22">
        <f>SUM(M528:M530)</f>
        <v>149900</v>
      </c>
      <c r="N531" s="19"/>
      <c r="O531" s="22">
        <f>SUM(O528:O530)</f>
        <v>81353</v>
      </c>
      <c r="P531" s="19"/>
      <c r="Q531" s="22">
        <f>SUM(Q528:Q530)</f>
        <v>0</v>
      </c>
      <c r="R531" s="6"/>
    </row>
    <row r="532" spans="1:18" s="3" customFormat="1" ht="13.5" customHeight="1">
      <c r="A532" s="19"/>
      <c r="B532" s="20" t="s">
        <v>14</v>
      </c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6"/>
    </row>
    <row r="533" spans="1:18" s="3" customFormat="1" ht="13.5" customHeight="1">
      <c r="A533" s="19" t="s">
        <v>170</v>
      </c>
      <c r="B533" s="20" t="s">
        <v>14</v>
      </c>
      <c r="C533" s="22">
        <f>SUM(C531,C525,C522,C512,C517)</f>
        <v>0</v>
      </c>
      <c r="D533" s="24"/>
      <c r="E533" s="22">
        <f>SUM(E531,E525,E522,E512,E517)</f>
        <v>49943</v>
      </c>
      <c r="F533" s="24"/>
      <c r="G533" s="22">
        <f>SUM(G531,G525,G522,G512,G517)</f>
        <v>440367</v>
      </c>
      <c r="H533" s="24"/>
      <c r="I533" s="22">
        <f>SUM(I531,I525,I522,I512,I517)</f>
        <v>3498658</v>
      </c>
      <c r="J533" s="19"/>
      <c r="K533" s="22">
        <f>SUM(K531,K525,K516,K522,K515,K512)</f>
        <v>3988968</v>
      </c>
      <c r="L533" s="19"/>
      <c r="M533" s="22">
        <f>SUM(M531,M525,M522,M512,M517)</f>
        <v>3112910</v>
      </c>
      <c r="N533" s="24"/>
      <c r="O533" s="22">
        <f>SUM(O531,O525,O522,O512,O517)</f>
        <v>872937</v>
      </c>
      <c r="P533" s="24"/>
      <c r="Q533" s="22">
        <f>SUM(Q531,Q525,Q522,Q512,Q517)</f>
        <v>3121</v>
      </c>
      <c r="R533" s="6"/>
    </row>
    <row r="534" spans="1:18" s="3" customFormat="1" ht="13.5" customHeight="1">
      <c r="A534" s="19"/>
      <c r="B534" s="20" t="s">
        <v>14</v>
      </c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6"/>
    </row>
    <row r="535" spans="1:18" s="3" customFormat="1" ht="13.5" customHeight="1">
      <c r="A535" s="19" t="s">
        <v>192</v>
      </c>
      <c r="B535" s="20" t="s">
        <v>14</v>
      </c>
      <c r="C535" s="19" t="s">
        <v>14</v>
      </c>
      <c r="D535" s="19"/>
      <c r="E535" s="19" t="s">
        <v>14</v>
      </c>
      <c r="F535" s="19"/>
      <c r="G535" s="19" t="s">
        <v>14</v>
      </c>
      <c r="H535" s="19"/>
      <c r="I535" s="19" t="s">
        <v>14</v>
      </c>
      <c r="J535" s="19"/>
      <c r="K535" s="19"/>
      <c r="L535" s="19"/>
      <c r="M535" s="19" t="s">
        <v>14</v>
      </c>
      <c r="N535" s="19"/>
      <c r="O535" s="19" t="s">
        <v>14</v>
      </c>
      <c r="P535" s="19"/>
      <c r="Q535" s="19" t="s">
        <v>14</v>
      </c>
      <c r="R535" s="6"/>
    </row>
    <row r="536" spans="1:18" s="3" customFormat="1" ht="13.5" customHeight="1">
      <c r="A536" s="19" t="s">
        <v>136</v>
      </c>
      <c r="B536" s="20" t="s">
        <v>14</v>
      </c>
      <c r="C536" s="24">
        <v>974303</v>
      </c>
      <c r="D536" s="19"/>
      <c r="E536" s="24">
        <v>1418</v>
      </c>
      <c r="F536" s="19"/>
      <c r="G536" s="24">
        <v>486689</v>
      </c>
      <c r="H536" s="19"/>
      <c r="I536" s="24">
        <f>1217726-11</f>
        <v>1217715</v>
      </c>
      <c r="J536" s="19"/>
      <c r="K536" s="24">
        <f t="shared" si="9"/>
        <v>2680125</v>
      </c>
      <c r="L536" s="19"/>
      <c r="M536" s="24">
        <v>270233</v>
      </c>
      <c r="N536" s="19"/>
      <c r="O536" s="24">
        <f>2409815-12</f>
        <v>2409803</v>
      </c>
      <c r="P536" s="19"/>
      <c r="Q536" s="24">
        <v>89</v>
      </c>
      <c r="R536" s="6"/>
    </row>
    <row r="537" spans="1:18" s="3" customFormat="1" ht="13.5" customHeight="1">
      <c r="A537" s="19" t="s">
        <v>231</v>
      </c>
      <c r="B537" s="20"/>
      <c r="C537" s="24">
        <v>-1365169</v>
      </c>
      <c r="D537" s="19"/>
      <c r="E537" s="24">
        <v>0</v>
      </c>
      <c r="F537" s="19"/>
      <c r="G537" s="24">
        <v>0</v>
      </c>
      <c r="H537" s="19"/>
      <c r="I537" s="24">
        <v>0</v>
      </c>
      <c r="J537" s="19"/>
      <c r="K537" s="22">
        <f t="shared" si="9"/>
        <v>-1365169</v>
      </c>
      <c r="L537" s="19"/>
      <c r="M537" s="24">
        <v>0</v>
      </c>
      <c r="N537" s="19"/>
      <c r="O537" s="24">
        <v>-1390273</v>
      </c>
      <c r="P537" s="19"/>
      <c r="Q537" s="24">
        <v>25104</v>
      </c>
      <c r="R537" s="6"/>
    </row>
    <row r="538" spans="1:18" s="4" customFormat="1" ht="13.5" customHeight="1">
      <c r="A538" s="19"/>
      <c r="B538" s="20"/>
      <c r="C538" s="37"/>
      <c r="D538" s="19"/>
      <c r="E538" s="37"/>
      <c r="F538" s="19"/>
      <c r="G538" s="37"/>
      <c r="H538" s="19"/>
      <c r="I538" s="37"/>
      <c r="J538" s="19"/>
      <c r="K538" s="19"/>
      <c r="L538" s="19"/>
      <c r="M538" s="37"/>
      <c r="N538" s="19"/>
      <c r="O538" s="37"/>
      <c r="P538" s="19"/>
      <c r="Q538" s="37"/>
      <c r="R538" s="7"/>
    </row>
    <row r="539" spans="1:18" s="4" customFormat="1" ht="13.5" customHeight="1">
      <c r="A539" s="19" t="s">
        <v>207</v>
      </c>
      <c r="B539" s="20"/>
      <c r="C539" s="22">
        <f>SUM(C536:C538)</f>
        <v>-390866</v>
      </c>
      <c r="D539" s="19"/>
      <c r="E539" s="22">
        <f>SUM(E536:E538)</f>
        <v>1418</v>
      </c>
      <c r="F539" s="19"/>
      <c r="G539" s="22">
        <f>SUM(G536:G538)</f>
        <v>486689</v>
      </c>
      <c r="H539" s="19"/>
      <c r="I539" s="22">
        <f>SUM(I536:I538)</f>
        <v>1217715</v>
      </c>
      <c r="J539" s="19"/>
      <c r="K539" s="22">
        <f>SUM(K536:K538)</f>
        <v>1314956</v>
      </c>
      <c r="L539" s="19"/>
      <c r="M539" s="22">
        <f>SUM(M536:M538)</f>
        <v>270233</v>
      </c>
      <c r="N539" s="19"/>
      <c r="O539" s="22">
        <f>SUM(O536:O538)</f>
        <v>1019530</v>
      </c>
      <c r="P539" s="19"/>
      <c r="Q539" s="22">
        <f>SUM(Q536:Q538)</f>
        <v>25193</v>
      </c>
      <c r="R539" s="7"/>
    </row>
    <row r="540" spans="1:18" s="4" customFormat="1" ht="13.5" customHeight="1">
      <c r="A540" s="19"/>
      <c r="B540" s="20" t="s">
        <v>14</v>
      </c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28"/>
      <c r="R540" s="7"/>
    </row>
    <row r="541" spans="1:18" s="3" customFormat="1" ht="13.5" customHeight="1">
      <c r="A541" s="19" t="s">
        <v>137</v>
      </c>
      <c r="B541" s="20" t="s">
        <v>14</v>
      </c>
      <c r="C541" s="22">
        <v>2240246</v>
      </c>
      <c r="D541" s="19"/>
      <c r="E541" s="22">
        <v>23116549</v>
      </c>
      <c r="F541" s="19"/>
      <c r="G541" s="22">
        <v>2683321</v>
      </c>
      <c r="H541" s="19"/>
      <c r="I541" s="22">
        <v>5005073</v>
      </c>
      <c r="J541" s="19"/>
      <c r="K541" s="22">
        <f t="shared" si="9"/>
        <v>33045189</v>
      </c>
      <c r="L541" s="19"/>
      <c r="M541" s="22">
        <v>0</v>
      </c>
      <c r="N541" s="19"/>
      <c r="O541" s="22">
        <v>32900451</v>
      </c>
      <c r="P541" s="19"/>
      <c r="Q541" s="22">
        <v>144738</v>
      </c>
      <c r="R541" s="6"/>
    </row>
    <row r="542" spans="1:18" s="3" customFormat="1" ht="13.5" customHeight="1">
      <c r="A542" s="19"/>
      <c r="B542" s="20" t="s">
        <v>14</v>
      </c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6"/>
    </row>
    <row r="543" spans="1:18" s="3" customFormat="1" ht="13.5" customHeight="1">
      <c r="A543" s="19" t="s">
        <v>255</v>
      </c>
      <c r="B543" s="20" t="s">
        <v>14</v>
      </c>
      <c r="C543" s="22">
        <f>C156+C295+C424+C467+C502+C533+C539+C541</f>
        <v>38867794</v>
      </c>
      <c r="D543" s="19"/>
      <c r="E543" s="22">
        <f>E156+E295+E424+E467+E502+E533+E539+E541</f>
        <v>117762334</v>
      </c>
      <c r="F543" s="19"/>
      <c r="G543" s="22">
        <f>G156+G295+G424+G467+G502+G533+G539+G541</f>
        <v>28430151</v>
      </c>
      <c r="H543" s="19"/>
      <c r="I543" s="22">
        <f>I156+I295+I424+I467+I502+I533+I539+I541</f>
        <v>36322317</v>
      </c>
      <c r="J543" s="19"/>
      <c r="K543" s="22">
        <f t="shared" si="9"/>
        <v>221382596</v>
      </c>
      <c r="L543" s="19"/>
      <c r="M543" s="22">
        <f>M156+M295+M424+M467+M502+M533+M539+M541</f>
        <v>87900977</v>
      </c>
      <c r="N543" s="19"/>
      <c r="O543" s="22">
        <f>O156+O295+O424+O467+O502+O533+O539+O541</f>
        <v>109031684</v>
      </c>
      <c r="P543" s="19"/>
      <c r="Q543" s="22">
        <f>Q156+Q295+Q424+Q467+Q502+Q533+Q539+Q541</f>
        <v>24449935</v>
      </c>
      <c r="R543" s="6"/>
    </row>
    <row r="544" spans="1:18" s="3" customFormat="1" ht="13.5" customHeight="1">
      <c r="A544" s="19"/>
      <c r="B544" s="20" t="s">
        <v>14</v>
      </c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6"/>
    </row>
    <row r="545" spans="1:18" s="3" customFormat="1" ht="13.5" customHeight="1">
      <c r="A545" s="19" t="s">
        <v>222</v>
      </c>
      <c r="B545" s="20" t="s">
        <v>14</v>
      </c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6"/>
    </row>
    <row r="546" spans="1:18" s="3" customFormat="1" ht="13.5" customHeight="1">
      <c r="A546" s="19" t="s">
        <v>223</v>
      </c>
      <c r="B546" s="20" t="s">
        <v>14</v>
      </c>
      <c r="C546" s="19" t="s">
        <v>14</v>
      </c>
      <c r="D546" s="19"/>
      <c r="E546" s="19" t="s">
        <v>14</v>
      </c>
      <c r="F546" s="19"/>
      <c r="G546" s="19" t="s">
        <v>14</v>
      </c>
      <c r="H546" s="19"/>
      <c r="I546" s="19" t="s">
        <v>14</v>
      </c>
      <c r="J546" s="19"/>
      <c r="K546" s="19"/>
      <c r="L546" s="19"/>
      <c r="M546" s="19" t="s">
        <v>14</v>
      </c>
      <c r="N546" s="19"/>
      <c r="O546" s="19" t="s">
        <v>14</v>
      </c>
      <c r="P546" s="19"/>
      <c r="Q546" s="19" t="s">
        <v>14</v>
      </c>
      <c r="R546" s="6"/>
    </row>
    <row r="547" spans="1:18" s="3" customFormat="1" ht="13.5" customHeight="1">
      <c r="A547" s="19" t="s">
        <v>193</v>
      </c>
      <c r="B547" s="20" t="s">
        <v>14</v>
      </c>
      <c r="C547" s="22">
        <v>0</v>
      </c>
      <c r="D547" s="19"/>
      <c r="E547" s="22">
        <v>0</v>
      </c>
      <c r="F547" s="19"/>
      <c r="G547" s="22">
        <v>0</v>
      </c>
      <c r="H547" s="19"/>
      <c r="I547" s="22">
        <v>4651148</v>
      </c>
      <c r="J547" s="19"/>
      <c r="K547" s="22">
        <f aca="true" t="shared" si="10" ref="K547:K567">IF(SUM(C547:I547)=SUM(M547:Q547),SUM(C547:I547),SUM(M547:Q547)-SUM(C547:I547))</f>
        <v>4651148</v>
      </c>
      <c r="L547" s="19"/>
      <c r="M547" s="22">
        <v>0</v>
      </c>
      <c r="N547" s="19"/>
      <c r="O547" s="22">
        <v>4651148</v>
      </c>
      <c r="P547" s="19"/>
      <c r="Q547" s="22">
        <v>0</v>
      </c>
      <c r="R547" s="6"/>
    </row>
    <row r="548" spans="1:18" s="3" customFormat="1" ht="13.5" customHeight="1">
      <c r="A548" s="19"/>
      <c r="B548" s="20" t="s">
        <v>14</v>
      </c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6"/>
    </row>
    <row r="549" spans="1:18" s="3" customFormat="1" ht="13.5" customHeight="1">
      <c r="A549" s="19" t="s">
        <v>224</v>
      </c>
      <c r="B549" s="20" t="s">
        <v>14</v>
      </c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6"/>
    </row>
    <row r="550" spans="1:18" s="3" customFormat="1" ht="13.5" customHeight="1">
      <c r="A550" s="19" t="s">
        <v>242</v>
      </c>
      <c r="B550" s="20" t="s">
        <v>14</v>
      </c>
      <c r="C550" s="24">
        <v>0</v>
      </c>
      <c r="D550" s="19"/>
      <c r="E550" s="24">
        <v>0</v>
      </c>
      <c r="F550" s="19"/>
      <c r="G550" s="24">
        <v>0</v>
      </c>
      <c r="H550" s="19"/>
      <c r="I550" s="24">
        <v>6985349</v>
      </c>
      <c r="J550" s="19"/>
      <c r="K550" s="19">
        <f t="shared" si="10"/>
        <v>6985349</v>
      </c>
      <c r="L550" s="19"/>
      <c r="M550" s="24">
        <v>0</v>
      </c>
      <c r="N550" s="19"/>
      <c r="O550" s="24">
        <v>6985349</v>
      </c>
      <c r="P550" s="19"/>
      <c r="Q550" s="24">
        <v>0</v>
      </c>
      <c r="R550" s="6"/>
    </row>
    <row r="551" spans="1:18" s="4" customFormat="1" ht="13.5" customHeight="1">
      <c r="A551" s="24" t="s">
        <v>193</v>
      </c>
      <c r="B551" s="27"/>
      <c r="C551" s="24">
        <v>0</v>
      </c>
      <c r="D551" s="24"/>
      <c r="E551" s="24">
        <v>0</v>
      </c>
      <c r="F551" s="24"/>
      <c r="G551" s="24">
        <v>0</v>
      </c>
      <c r="H551" s="24"/>
      <c r="I551" s="24">
        <v>303972</v>
      </c>
      <c r="J551" s="24"/>
      <c r="K551" s="24">
        <f t="shared" si="10"/>
        <v>303972</v>
      </c>
      <c r="L551" s="24"/>
      <c r="M551" s="24">
        <v>0</v>
      </c>
      <c r="N551" s="24"/>
      <c r="O551" s="24">
        <v>303972</v>
      </c>
      <c r="P551" s="24"/>
      <c r="Q551" s="24">
        <v>0</v>
      </c>
      <c r="R551" s="7"/>
    </row>
    <row r="552" spans="1:18" s="3" customFormat="1" ht="13.5" customHeight="1">
      <c r="A552" s="19" t="s">
        <v>284</v>
      </c>
      <c r="B552" s="20"/>
      <c r="C552" s="22">
        <v>0</v>
      </c>
      <c r="D552" s="19"/>
      <c r="E552" s="22">
        <v>0</v>
      </c>
      <c r="F552" s="19"/>
      <c r="G552" s="22">
        <v>0</v>
      </c>
      <c r="H552" s="19"/>
      <c r="I552" s="22">
        <v>9746</v>
      </c>
      <c r="J552" s="19"/>
      <c r="K552" s="24">
        <f t="shared" si="10"/>
        <v>9746</v>
      </c>
      <c r="L552" s="19"/>
      <c r="M552" s="22">
        <v>0</v>
      </c>
      <c r="N552" s="19"/>
      <c r="O552" s="22">
        <v>9746</v>
      </c>
      <c r="P552" s="19"/>
      <c r="Q552" s="22">
        <v>0</v>
      </c>
      <c r="R552" s="6"/>
    </row>
    <row r="553" spans="1:18" s="3" customFormat="1" ht="13.5" customHeight="1">
      <c r="A553" s="19" t="s">
        <v>225</v>
      </c>
      <c r="B553" s="20" t="s">
        <v>14</v>
      </c>
      <c r="C553" s="22">
        <f>SUM(C550:C552)</f>
        <v>0</v>
      </c>
      <c r="D553" s="19"/>
      <c r="E553" s="22">
        <f>SUM(E550:E552)</f>
        <v>0</v>
      </c>
      <c r="F553" s="19"/>
      <c r="G553" s="22">
        <f>SUM(G550:G552)</f>
        <v>0</v>
      </c>
      <c r="H553" s="19"/>
      <c r="I553" s="22">
        <f>SUM(I550:I552)</f>
        <v>7299067</v>
      </c>
      <c r="J553" s="19"/>
      <c r="K553" s="23">
        <f t="shared" si="10"/>
        <v>7299067</v>
      </c>
      <c r="L553" s="19"/>
      <c r="M553" s="22">
        <f>SUM(M550:M552)</f>
        <v>0</v>
      </c>
      <c r="N553" s="19"/>
      <c r="O553" s="22">
        <f>SUM(O550:O552)</f>
        <v>7299067</v>
      </c>
      <c r="P553" s="19"/>
      <c r="Q553" s="22">
        <f>SUM(Q550:Q552)</f>
        <v>0</v>
      </c>
      <c r="R553" s="6"/>
    </row>
    <row r="554" spans="1:18" s="3" customFormat="1" ht="13.5" customHeight="1">
      <c r="A554" s="19"/>
      <c r="B554" s="20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6"/>
    </row>
    <row r="555" spans="1:18" s="3" customFormat="1" ht="13.5" customHeight="1">
      <c r="A555" s="19" t="s">
        <v>208</v>
      </c>
      <c r="B555" s="20" t="s">
        <v>14</v>
      </c>
      <c r="C555" s="22">
        <f>C547+C553</f>
        <v>0</v>
      </c>
      <c r="D555" s="19"/>
      <c r="E555" s="22">
        <f>E547+E553</f>
        <v>0</v>
      </c>
      <c r="F555" s="19"/>
      <c r="G555" s="22">
        <f>G547+G553</f>
        <v>0</v>
      </c>
      <c r="H555" s="19"/>
      <c r="I555" s="22">
        <f>I547+I553</f>
        <v>11950215</v>
      </c>
      <c r="J555" s="19"/>
      <c r="K555" s="22">
        <f t="shared" si="10"/>
        <v>11950215</v>
      </c>
      <c r="L555" s="19"/>
      <c r="M555" s="22">
        <f>M547+M553</f>
        <v>0</v>
      </c>
      <c r="N555" s="19"/>
      <c r="O555" s="22">
        <f>O547+O553</f>
        <v>11950215</v>
      </c>
      <c r="P555" s="19"/>
      <c r="Q555" s="22">
        <f>Q547+Q553</f>
        <v>0</v>
      </c>
      <c r="R555" s="6"/>
    </row>
    <row r="556" spans="1:18" s="3" customFormat="1" ht="13.5" customHeight="1">
      <c r="A556" s="19"/>
      <c r="B556" s="20" t="s">
        <v>14</v>
      </c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6"/>
    </row>
    <row r="557" spans="1:18" s="3" customFormat="1" ht="13.5" customHeight="1">
      <c r="A557" s="19" t="s">
        <v>254</v>
      </c>
      <c r="B557" s="20" t="s">
        <v>14</v>
      </c>
      <c r="C557" s="22">
        <f>+C543+C555</f>
        <v>38867794</v>
      </c>
      <c r="D557" s="19"/>
      <c r="E557" s="22">
        <f>+E543+E555</f>
        <v>117762334</v>
      </c>
      <c r="F557" s="19"/>
      <c r="G557" s="22">
        <f>+G543+G555</f>
        <v>28430151</v>
      </c>
      <c r="H557" s="19"/>
      <c r="I557" s="22">
        <f>+I543+I555</f>
        <v>48272532</v>
      </c>
      <c r="J557" s="19"/>
      <c r="K557" s="22">
        <f>IF(SUM(C557:I557)=SUM(M557:Q557),SUM(C557:I557),SUM(M557:Q557)-SUM(C557:I557))</f>
        <v>233332811</v>
      </c>
      <c r="L557" s="19"/>
      <c r="M557" s="22">
        <f>+M543+M555</f>
        <v>87900977</v>
      </c>
      <c r="N557" s="19"/>
      <c r="O557" s="22">
        <f>+O543+O555</f>
        <v>120981899</v>
      </c>
      <c r="P557" s="19"/>
      <c r="Q557" s="22">
        <f>+Q543+Q555</f>
        <v>24449935</v>
      </c>
      <c r="R557" s="6"/>
    </row>
    <row r="558" spans="1:18" s="3" customFormat="1" ht="13.5" customHeight="1">
      <c r="A558" s="19"/>
      <c r="B558" s="20" t="s">
        <v>14</v>
      </c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6"/>
    </row>
    <row r="559" spans="1:18" s="3" customFormat="1" ht="13.5" customHeight="1">
      <c r="A559" s="19" t="s">
        <v>33</v>
      </c>
      <c r="B559" s="20" t="s">
        <v>14</v>
      </c>
      <c r="C559" s="19" t="s">
        <v>14</v>
      </c>
      <c r="D559" s="19"/>
      <c r="E559" s="19" t="s">
        <v>14</v>
      </c>
      <c r="F559" s="19"/>
      <c r="G559" s="19" t="s">
        <v>14</v>
      </c>
      <c r="H559" s="19"/>
      <c r="I559" s="19" t="s">
        <v>14</v>
      </c>
      <c r="J559" s="19"/>
      <c r="K559" s="19"/>
      <c r="L559" s="19"/>
      <c r="M559" s="19" t="s">
        <v>14</v>
      </c>
      <c r="N559" s="19"/>
      <c r="O559" s="19" t="s">
        <v>14</v>
      </c>
      <c r="P559" s="19"/>
      <c r="Q559" s="19" t="s">
        <v>14</v>
      </c>
      <c r="R559" s="6"/>
    </row>
    <row r="560" spans="1:18" s="3" customFormat="1" ht="13.5" customHeight="1">
      <c r="A560" s="19" t="s">
        <v>226</v>
      </c>
      <c r="B560" s="20" t="s">
        <v>14</v>
      </c>
      <c r="C560" s="19">
        <v>0</v>
      </c>
      <c r="D560" s="19"/>
      <c r="E560" s="19">
        <v>0</v>
      </c>
      <c r="F560" s="19"/>
      <c r="G560" s="19">
        <v>0</v>
      </c>
      <c r="H560" s="19"/>
      <c r="I560" s="19">
        <v>137800016</v>
      </c>
      <c r="J560" s="19"/>
      <c r="K560" s="19">
        <f t="shared" si="10"/>
        <v>137800016</v>
      </c>
      <c r="L560" s="19"/>
      <c r="M560" s="19">
        <f>43788322+9909663</f>
        <v>53697985</v>
      </c>
      <c r="N560" s="19"/>
      <c r="O560" s="19">
        <f>94011694-9909663</f>
        <v>84102031</v>
      </c>
      <c r="P560" s="19"/>
      <c r="Q560" s="19">
        <v>0</v>
      </c>
      <c r="R560" s="6"/>
    </row>
    <row r="561" spans="1:18" s="3" customFormat="1" ht="13.5" customHeight="1">
      <c r="A561" s="19" t="s">
        <v>233</v>
      </c>
      <c r="B561" s="20" t="s">
        <v>14</v>
      </c>
      <c r="C561" s="19">
        <v>0</v>
      </c>
      <c r="D561" s="19"/>
      <c r="E561" s="19">
        <v>0</v>
      </c>
      <c r="F561" s="19"/>
      <c r="G561" s="19">
        <v>0</v>
      </c>
      <c r="H561" s="19"/>
      <c r="I561" s="19">
        <v>19520422</v>
      </c>
      <c r="J561" s="19"/>
      <c r="K561" s="19">
        <f t="shared" si="10"/>
        <v>19520422</v>
      </c>
      <c r="L561" s="19"/>
      <c r="M561" s="19">
        <v>0</v>
      </c>
      <c r="N561" s="19"/>
      <c r="O561" s="19">
        <v>19520422</v>
      </c>
      <c r="P561" s="19"/>
      <c r="Q561" s="19">
        <v>0</v>
      </c>
      <c r="R561" s="6"/>
    </row>
    <row r="562" spans="1:18" s="3" customFormat="1" ht="13.5" customHeight="1">
      <c r="A562" s="19" t="s">
        <v>227</v>
      </c>
      <c r="B562" s="20" t="s">
        <v>14</v>
      </c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6"/>
    </row>
    <row r="563" spans="1:18" s="3" customFormat="1" ht="13.5" customHeight="1">
      <c r="A563" s="19" t="s">
        <v>228</v>
      </c>
      <c r="B563" s="20" t="s">
        <v>14</v>
      </c>
      <c r="C563" s="19">
        <v>0</v>
      </c>
      <c r="D563" s="19"/>
      <c r="E563" s="19">
        <v>0</v>
      </c>
      <c r="F563" s="19"/>
      <c r="G563" s="19">
        <v>0</v>
      </c>
      <c r="H563" s="19"/>
      <c r="I563" s="19">
        <v>75852</v>
      </c>
      <c r="J563" s="19"/>
      <c r="K563" s="19">
        <f t="shared" si="10"/>
        <v>75852</v>
      </c>
      <c r="L563" s="19"/>
      <c r="M563" s="19">
        <v>0</v>
      </c>
      <c r="N563" s="19"/>
      <c r="O563" s="19">
        <v>75852</v>
      </c>
      <c r="P563" s="19"/>
      <c r="Q563" s="19">
        <v>0</v>
      </c>
      <c r="R563" s="6"/>
    </row>
    <row r="564" spans="1:18" s="3" customFormat="1" ht="13.5" customHeight="1">
      <c r="A564" s="19" t="s">
        <v>232</v>
      </c>
      <c r="B564" s="20" t="s">
        <v>14</v>
      </c>
      <c r="C564" s="22">
        <v>0</v>
      </c>
      <c r="D564" s="19"/>
      <c r="E564" s="22">
        <v>0</v>
      </c>
      <c r="F564" s="19"/>
      <c r="G564" s="22">
        <v>0</v>
      </c>
      <c r="H564" s="19"/>
      <c r="I564" s="22">
        <v>1013425</v>
      </c>
      <c r="J564" s="19"/>
      <c r="K564" s="22">
        <f t="shared" si="10"/>
        <v>1013425</v>
      </c>
      <c r="L564" s="19"/>
      <c r="M564" s="22">
        <v>0</v>
      </c>
      <c r="N564" s="19"/>
      <c r="O564" s="22">
        <v>1013425</v>
      </c>
      <c r="P564" s="19"/>
      <c r="Q564" s="22">
        <v>0</v>
      </c>
      <c r="R564" s="6"/>
    </row>
    <row r="565" spans="1:18" s="3" customFormat="1" ht="13.5" customHeight="1">
      <c r="A565" s="19" t="s">
        <v>220</v>
      </c>
      <c r="B565" s="20" t="s">
        <v>14</v>
      </c>
      <c r="C565" s="22">
        <f>SUM(C560:C564)</f>
        <v>0</v>
      </c>
      <c r="D565" s="19"/>
      <c r="E565" s="22">
        <f>SUM(E560:E564)</f>
        <v>0</v>
      </c>
      <c r="F565" s="19"/>
      <c r="G565" s="22">
        <f>SUM(G560:G564)</f>
        <v>0</v>
      </c>
      <c r="H565" s="19"/>
      <c r="I565" s="22">
        <f>SUM(I560:I564)</f>
        <v>158409715</v>
      </c>
      <c r="J565" s="19"/>
      <c r="K565" s="23">
        <f t="shared" si="10"/>
        <v>158409715</v>
      </c>
      <c r="L565" s="19"/>
      <c r="M565" s="22">
        <f>SUM(M560:M564)</f>
        <v>53697985</v>
      </c>
      <c r="N565" s="19"/>
      <c r="O565" s="22">
        <f>SUM(O560:O564)</f>
        <v>104711730</v>
      </c>
      <c r="P565" s="19"/>
      <c r="Q565" s="22">
        <f>SUM(Q560:Q564)</f>
        <v>0</v>
      </c>
      <c r="R565" s="6"/>
    </row>
    <row r="566" spans="1:18" s="3" customFormat="1" ht="13.5" customHeight="1">
      <c r="A566" s="19"/>
      <c r="B566" s="20" t="s">
        <v>14</v>
      </c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6"/>
    </row>
    <row r="567" spans="1:18" s="3" customFormat="1" ht="13.5" customHeight="1" thickBot="1">
      <c r="A567" s="19" t="s">
        <v>221</v>
      </c>
      <c r="B567" s="20" t="s">
        <v>14</v>
      </c>
      <c r="C567" s="29">
        <f>+C557+C565</f>
        <v>38867794</v>
      </c>
      <c r="D567" s="19"/>
      <c r="E567" s="29">
        <f>+E557+E565</f>
        <v>117762334</v>
      </c>
      <c r="F567" s="19"/>
      <c r="G567" s="29">
        <f>+G557+G565</f>
        <v>28430151</v>
      </c>
      <c r="H567" s="19"/>
      <c r="I567" s="29">
        <f>+I557+I565</f>
        <v>206682247</v>
      </c>
      <c r="J567" s="19"/>
      <c r="K567" s="38">
        <f t="shared" si="10"/>
        <v>391742526</v>
      </c>
      <c r="L567" s="19"/>
      <c r="M567" s="29">
        <f>+M557+M565</f>
        <v>141598962</v>
      </c>
      <c r="N567" s="19"/>
      <c r="O567" s="29">
        <f>+O557+O565</f>
        <v>225693629</v>
      </c>
      <c r="P567" s="19"/>
      <c r="Q567" s="29">
        <f>+Q557+Q565</f>
        <v>24449935</v>
      </c>
      <c r="R567" s="6"/>
    </row>
    <row r="568" s="3" customFormat="1" ht="13.5" customHeight="1" thickTop="1">
      <c r="R568" s="6"/>
    </row>
    <row r="569" spans="1:18" s="3" customFormat="1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6"/>
    </row>
    <row r="570" spans="1:43" s="3" customFormat="1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6" t="s">
        <v>14</v>
      </c>
      <c r="S570" s="3" t="s">
        <v>14</v>
      </c>
      <c r="T570" s="3" t="s">
        <v>14</v>
      </c>
      <c r="U570" s="3" t="s">
        <v>14</v>
      </c>
      <c r="V570" s="3" t="s">
        <v>14</v>
      </c>
      <c r="W570" s="3" t="s">
        <v>14</v>
      </c>
      <c r="X570" s="3" t="s">
        <v>14</v>
      </c>
      <c r="Y570" s="3" t="s">
        <v>14</v>
      </c>
      <c r="Z570" s="3" t="s">
        <v>14</v>
      </c>
      <c r="AA570" s="3" t="s">
        <v>14</v>
      </c>
      <c r="AB570" s="3" t="s">
        <v>14</v>
      </c>
      <c r="AC570" s="3" t="s">
        <v>14</v>
      </c>
      <c r="AD570" s="3" t="s">
        <v>14</v>
      </c>
      <c r="AE570" s="3" t="s">
        <v>14</v>
      </c>
      <c r="AF570" s="3" t="s">
        <v>14</v>
      </c>
      <c r="AG570" s="3" t="s">
        <v>14</v>
      </c>
      <c r="AH570" s="3" t="s">
        <v>14</v>
      </c>
      <c r="AI570" s="3" t="s">
        <v>14</v>
      </c>
      <c r="AJ570" s="3" t="s">
        <v>14</v>
      </c>
      <c r="AK570" s="3" t="s">
        <v>14</v>
      </c>
      <c r="AL570" s="3" t="s">
        <v>14</v>
      </c>
      <c r="AM570" s="3" t="s">
        <v>14</v>
      </c>
      <c r="AN570" s="3" t="s">
        <v>14</v>
      </c>
      <c r="AO570" s="3" t="s">
        <v>14</v>
      </c>
      <c r="AP570" s="3" t="s">
        <v>14</v>
      </c>
      <c r="AQ570" s="3" t="s">
        <v>14</v>
      </c>
    </row>
    <row r="571" spans="1:18" s="3" customFormat="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6"/>
    </row>
    <row r="572" spans="1:18" s="3" customFormat="1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6"/>
    </row>
    <row r="573" spans="1:18" s="3" customFormat="1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6"/>
    </row>
    <row r="574" spans="1:18" s="3" customFormat="1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6"/>
    </row>
    <row r="575" spans="1:18" s="3" customFormat="1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6"/>
    </row>
    <row r="576" spans="1:18" s="3" customFormat="1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6"/>
    </row>
    <row r="577" spans="1:18" s="3" customFormat="1" ht="1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6"/>
    </row>
    <row r="578" spans="18:256" ht="12">
      <c r="R578" s="8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</row>
  </sheetData>
  <sheetProtection/>
  <mergeCells count="5">
    <mergeCell ref="A1:A8"/>
    <mergeCell ref="C4:O4"/>
    <mergeCell ref="C3:Q3"/>
    <mergeCell ref="C5:Q5"/>
    <mergeCell ref="C6:Q6"/>
  </mergeCells>
  <conditionalFormatting sqref="K1:K2 K4 C156 E156 G156 I156 K156:O156 Q156 K7:K65536">
    <cfRule type="cellIs" priority="23" dxfId="1" operator="equal" stopIfTrue="1">
      <formula>-1</formula>
    </cfRule>
    <cfRule type="cellIs" priority="25" dxfId="1" operator="equal">
      <formula>1</formula>
    </cfRule>
  </conditionalFormatting>
  <conditionalFormatting sqref="A16:Q567">
    <cfRule type="expression" priority="26" dxfId="0" stopIfTrue="1">
      <formula>MOD(ROW(),2)=0</formula>
    </cfRule>
  </conditionalFormatting>
  <printOptions horizontalCentered="1"/>
  <pageMargins left="0.25" right="0.25" top="0.25" bottom="0.5" header="0.25" footer="0.25"/>
  <pageSetup fitToHeight="0" horizontalDpi="600" verticalDpi="600" orientation="landscape" scale="89" r:id="rId4"/>
  <headerFooter alignWithMargins="0">
    <oddFooter>&amp;R&amp;"Goudy Old Style,Regular"&amp;10Page &amp;P of &amp;N</oddFooter>
  </headerFooter>
  <rowBreaks count="4" manualBreakCount="4">
    <brk id="56" max="16" man="1"/>
    <brk id="226" max="16" man="1"/>
    <brk id="269" max="16" man="1"/>
    <brk id="313" max="1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2010-10-06T19:20:23Z</cp:lastPrinted>
  <dcterms:modified xsi:type="dcterms:W3CDTF">2010-10-07T18:20:11Z</dcterms:modified>
  <cp:category/>
  <cp:version/>
  <cp:contentType/>
  <cp:contentStatus/>
</cp:coreProperties>
</file>