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765" windowWidth="13155" windowHeight="9135" activeTab="0"/>
  </bookViews>
  <sheets>
    <sheet name="LSU-BR" sheetId="1" r:id="rId1"/>
  </sheets>
  <definedNames>
    <definedName name="_xlnm.Print_Area" localSheetId="0">'LSU-BR'!$A$1:$H$251</definedName>
    <definedName name="_xlnm.Print_Titles" localSheetId="0">'LSU-BR'!$1:$11</definedName>
  </definedNames>
  <calcPr fullCalcOnLoad="1"/>
</workbook>
</file>

<file path=xl/sharedStrings.xml><?xml version="1.0" encoding="utf-8"?>
<sst xmlns="http://schemas.openxmlformats.org/spreadsheetml/2006/main" count="232" uniqueCount="218">
  <si>
    <t>Allocations</t>
  </si>
  <si>
    <t>Expenditures</t>
  </si>
  <si>
    <t xml:space="preserve"> </t>
  </si>
  <si>
    <t>PER SPRDSHT</t>
  </si>
  <si>
    <t>per PLANT REPORT</t>
  </si>
  <si>
    <t xml:space="preserve"> State of Louisiana:</t>
  </si>
  <si>
    <t xml:space="preserve">   Facility Planning and Control -</t>
  </si>
  <si>
    <t xml:space="preserve">     Choppin hall annex</t>
  </si>
  <si>
    <t xml:space="preserve"> University Debt:</t>
  </si>
  <si>
    <t xml:space="preserve"> Transfers from Other Funds:</t>
  </si>
  <si>
    <t xml:space="preserve">   Unrestricted -</t>
  </si>
  <si>
    <t xml:space="preserve">     Assembly center facility maintenance</t>
  </si>
  <si>
    <t xml:space="preserve">   Restricted -</t>
  </si>
  <si>
    <t xml:space="preserve">     Athletic department --</t>
  </si>
  <si>
    <t xml:space="preserve">       Renovations</t>
  </si>
  <si>
    <t xml:space="preserve">       Assembly center improvements</t>
  </si>
  <si>
    <t xml:space="preserve">       Field house improvements</t>
  </si>
  <si>
    <t xml:space="preserve">       Natatorium renovations</t>
  </si>
  <si>
    <t xml:space="preserve">     Campus police - equipment</t>
  </si>
  <si>
    <t xml:space="preserve">     Campus wide ada accessibility compliance</t>
  </si>
  <si>
    <t xml:space="preserve">     Emergency repairs</t>
  </si>
  <si>
    <t xml:space="preserve">     Residential life --</t>
  </si>
  <si>
    <t xml:space="preserve">       Tennis complex renovations</t>
  </si>
  <si>
    <t xml:space="preserve">       Tiger stadium renovations</t>
  </si>
  <si>
    <t xml:space="preserve">       Track renovation projects</t>
  </si>
  <si>
    <t xml:space="preserve">       Women's soccer facility improvements </t>
  </si>
  <si>
    <t xml:space="preserve">       Women's softball facility improvements</t>
  </si>
  <si>
    <t xml:space="preserve">       Faculty club renovations</t>
  </si>
  <si>
    <t xml:space="preserve">       Acadian hall</t>
  </si>
  <si>
    <t xml:space="preserve">       Broussard hall</t>
  </si>
  <si>
    <t xml:space="preserve">       East campus apartments</t>
  </si>
  <si>
    <t xml:space="preserve">       Herget hall</t>
  </si>
  <si>
    <t xml:space="preserve">       McVoy hall</t>
  </si>
  <si>
    <t xml:space="preserve">       Miller hall</t>
  </si>
  <si>
    <t xml:space="preserve">     Steam system repairs</t>
  </si>
  <si>
    <t xml:space="preserve">       Equipment and furnishings</t>
  </si>
  <si>
    <t xml:space="preserve">       Interior renovations</t>
  </si>
  <si>
    <t xml:space="preserve">     University recreation --</t>
  </si>
  <si>
    <t xml:space="preserve">       Technology initiative</t>
  </si>
  <si>
    <t xml:space="preserve">       Residential college</t>
  </si>
  <si>
    <t xml:space="preserve"> Other Sources:</t>
  </si>
  <si>
    <t xml:space="preserve">     Assembly center pressure steam boiler</t>
  </si>
  <si>
    <t xml:space="preserve">     Fire and emergency training institute</t>
  </si>
  <si>
    <t xml:space="preserve">           Total</t>
  </si>
  <si>
    <t xml:space="preserve">         Total university debt</t>
  </si>
  <si>
    <t xml:space="preserve">         Total other sources</t>
  </si>
  <si>
    <t xml:space="preserve">       Memorial oak grove</t>
  </si>
  <si>
    <t xml:space="preserve">       Various apartment renovations</t>
  </si>
  <si>
    <t xml:space="preserve">     Equipment reserves --</t>
  </si>
  <si>
    <t xml:space="preserve">         Total unrestricted</t>
  </si>
  <si>
    <t xml:space="preserve">         Total restricted</t>
  </si>
  <si>
    <t xml:space="preserve">           Total transfers from other funds</t>
  </si>
  <si>
    <t xml:space="preserve">       Mechanical engineering machine shop </t>
  </si>
  <si>
    <t xml:space="preserve">       Nuclear magnetic resonance service center </t>
  </si>
  <si>
    <t xml:space="preserve">       SC&amp;E field support service center </t>
  </si>
  <si>
    <t xml:space="preserve">       Telecommunications network </t>
  </si>
  <si>
    <t xml:space="preserve">       Telecommunications telephone switch </t>
  </si>
  <si>
    <t xml:space="preserve">       WBIAS service center </t>
  </si>
  <si>
    <t xml:space="preserve">     Frey building service equipment upgrades</t>
  </si>
  <si>
    <t xml:space="preserve">     Information system 2010</t>
  </si>
  <si>
    <t xml:space="preserve">      Miscellaneous parking lot repairs and improvements</t>
  </si>
  <si>
    <t xml:space="preserve">       Highland hall </t>
  </si>
  <si>
    <t xml:space="preserve"> Deposits - Facility Planning and Control:</t>
  </si>
  <si>
    <t xml:space="preserve">         Total deposits - Facility Planning and Control</t>
  </si>
  <si>
    <t xml:space="preserve">       PBS histopathology lab service center</t>
  </si>
  <si>
    <t xml:space="preserve">       Physics shop service center</t>
  </si>
  <si>
    <t xml:space="preserve">       Administration building maintenance</t>
  </si>
  <si>
    <t>SFP</t>
  </si>
  <si>
    <t xml:space="preserve">     Union --</t>
  </si>
  <si>
    <t xml:space="preserve">       Parking lot at gourrier and nicholson</t>
  </si>
  <si>
    <t xml:space="preserve">       Various hall equipment, furniture and renovations</t>
  </si>
  <si>
    <t xml:space="preserve">     Union renovations</t>
  </si>
  <si>
    <t xml:space="preserve">     Emergency operations center equipment</t>
  </si>
  <si>
    <t xml:space="preserve">     Capital outlay projects</t>
  </si>
  <si>
    <t xml:space="preserve">     Tiger stadium repairs</t>
  </si>
  <si>
    <t xml:space="preserve">     University recreation technology initiative</t>
  </si>
  <si>
    <t xml:space="preserve">       Gene probes and expression lab service center</t>
  </si>
  <si>
    <t xml:space="preserve">     Facility services computer equipment and software</t>
  </si>
  <si>
    <t xml:space="preserve">       Pentagon halls  </t>
  </si>
  <si>
    <t xml:space="preserve">     Thomas Boyd hall renovations</t>
  </si>
  <si>
    <t xml:space="preserve">     Business education complex</t>
  </si>
  <si>
    <t>ANALYSIS E</t>
  </si>
  <si>
    <t>Analysis of Changes In Unexpended Plant Fund Balances</t>
  </si>
  <si>
    <t xml:space="preserve">     Facility services equipment</t>
  </si>
  <si>
    <t xml:space="preserve">     University Auxiliary Services --</t>
  </si>
  <si>
    <t xml:space="preserve">     Hatcher hall renovations</t>
  </si>
  <si>
    <t xml:space="preserve">       Tiger card office renovations</t>
  </si>
  <si>
    <t xml:space="preserve">       Furnishings</t>
  </si>
  <si>
    <t xml:space="preserve">       The Five dining hall renovations</t>
  </si>
  <si>
    <t xml:space="preserve">       459 dining hall renovations</t>
  </si>
  <si>
    <t xml:space="preserve">     Engineering lab annex building</t>
  </si>
  <si>
    <t xml:space="preserve">       Parking garage</t>
  </si>
  <si>
    <t xml:space="preserve">       Parking surface lots, geotech, traffic control</t>
  </si>
  <si>
    <t xml:space="preserve">       Parking lots</t>
  </si>
  <si>
    <t xml:space="preserve">       Union theatre renovations</t>
  </si>
  <si>
    <t xml:space="preserve">       East Laville honors college</t>
  </si>
  <si>
    <t xml:space="preserve">     2010 bond issue -</t>
  </si>
  <si>
    <t xml:space="preserve">     2007 bond issue -</t>
  </si>
  <si>
    <t xml:space="preserve">     2006 bond issue -</t>
  </si>
  <si>
    <t xml:space="preserve">     Rural life museum visitor parking</t>
  </si>
  <si>
    <t xml:space="preserve">     The 5 dining hall</t>
  </si>
  <si>
    <t xml:space="preserve">       Maintenance and risk reserve</t>
  </si>
  <si>
    <t xml:space="preserve">     Child care center reserve</t>
  </si>
  <si>
    <t xml:space="preserve">     Lifecycle replacements and improvements</t>
  </si>
  <si>
    <t xml:space="preserve">     Enterprise resource planning project</t>
  </si>
  <si>
    <t xml:space="preserve">     Public safety </t>
  </si>
  <si>
    <t xml:space="preserve">       Copy and mail retail dining</t>
  </si>
  <si>
    <t xml:space="preserve">     Child care center</t>
  </si>
  <si>
    <t xml:space="preserve">       Annie Boyd hall renovation</t>
  </si>
  <si>
    <t xml:space="preserve">       New residence hall</t>
  </si>
  <si>
    <t xml:space="preserve">     Laboratory school </t>
  </si>
  <si>
    <t xml:space="preserve">     University recreation facility maintenance</t>
  </si>
  <si>
    <t xml:space="preserve">       Kirby Smith hall</t>
  </si>
  <si>
    <t xml:space="preserve">     Student health center</t>
  </si>
  <si>
    <t xml:space="preserve">       Theatre </t>
  </si>
  <si>
    <t xml:space="preserve">       Tiger lair renovations</t>
  </si>
  <si>
    <t xml:space="preserve">     Athletic facilities</t>
  </si>
  <si>
    <t xml:space="preserve">       Maddox field house upgrades</t>
  </si>
  <si>
    <t xml:space="preserve">     Hatcher hall renovation</t>
  </si>
  <si>
    <t xml:space="preserve">     Eprocurement project</t>
  </si>
  <si>
    <t xml:space="preserve">       System software</t>
  </si>
  <si>
    <t xml:space="preserve">       Old President's house </t>
  </si>
  <si>
    <t xml:space="preserve">     Old engineering shop renovation</t>
  </si>
  <si>
    <t xml:space="preserve">     Parking, traffic, and transportation --</t>
  </si>
  <si>
    <t xml:space="preserve">     2013 bond issue -</t>
  </si>
  <si>
    <t xml:space="preserve">       Cypress hall</t>
  </si>
  <si>
    <t xml:space="preserve">       Evangeline hall renovation</t>
  </si>
  <si>
    <t xml:space="preserve">       University recreation expansion</t>
  </si>
  <si>
    <t xml:space="preserve">     High performance computing infrastructure</t>
  </si>
  <si>
    <t xml:space="preserve">       West Lakeshore house</t>
  </si>
  <si>
    <t xml:space="preserve">       Bookstore renovation</t>
  </si>
  <si>
    <t xml:space="preserve">       Career center furniture and technology</t>
  </si>
  <si>
    <t xml:space="preserve">       Exterior renovations</t>
  </si>
  <si>
    <t xml:space="preserve">       Vehicles</t>
  </si>
  <si>
    <t xml:space="preserve">     NCAM reserve</t>
  </si>
  <si>
    <t xml:space="preserve">     Campus relocation</t>
  </si>
  <si>
    <t xml:space="preserve">     Property insurance reserve</t>
  </si>
  <si>
    <t xml:space="preserve">     Worker's compensation reserve</t>
  </si>
  <si>
    <t xml:space="preserve">     French house renovation</t>
  </si>
  <si>
    <t xml:space="preserve">     University Recreation complex</t>
  </si>
  <si>
    <t xml:space="preserve">       New Greek house</t>
  </si>
  <si>
    <t xml:space="preserve">     Campus enhancement projects</t>
  </si>
  <si>
    <t xml:space="preserve">     Enterprise resource planning</t>
  </si>
  <si>
    <t xml:space="preserve">     Patrick F. Taylor renovations for engineering</t>
  </si>
  <si>
    <t xml:space="preserve">       Coastal studies institute field and lab service center</t>
  </si>
  <si>
    <t xml:space="preserve">       Football operations</t>
  </si>
  <si>
    <t xml:space="preserve">       SEC Network</t>
  </si>
  <si>
    <t xml:space="preserve">     Campus enhancements</t>
  </si>
  <si>
    <t xml:space="preserve">     New faculty equipment and renovations</t>
  </si>
  <si>
    <t xml:space="preserve">       Miscellaneous technology equipment</t>
  </si>
  <si>
    <t xml:space="preserve">     Student media tiger tv cameras</t>
  </si>
  <si>
    <t xml:space="preserve">       Enrollment management</t>
  </si>
  <si>
    <t xml:space="preserve">     New Greek house</t>
  </si>
  <si>
    <t xml:space="preserve">     Tiger stadium waterproof</t>
  </si>
  <si>
    <t xml:space="preserve">       Shared instrument facility</t>
  </si>
  <si>
    <t xml:space="preserve"> Maintenance Reserves:</t>
  </si>
  <si>
    <t xml:space="preserve">     Alex box</t>
  </si>
  <si>
    <t xml:space="preserve">     Basketball practice facility</t>
  </si>
  <si>
    <t xml:space="preserve">     Bernie Moore track stadium</t>
  </si>
  <si>
    <t xml:space="preserve">     Blake hall</t>
  </si>
  <si>
    <t xml:space="preserve">     East Laville</t>
  </si>
  <si>
    <t xml:space="preserve">     Lab School elementary wing</t>
  </si>
  <si>
    <t xml:space="preserve">     Residential college</t>
  </si>
  <si>
    <t xml:space="preserve">     Restricted streets</t>
  </si>
  <si>
    <t xml:space="preserve">     Rural life museum visitor center</t>
  </si>
  <si>
    <t xml:space="preserve">     South stadium parking lot</t>
  </si>
  <si>
    <t xml:space="preserve">     Tiger band hall</t>
  </si>
  <si>
    <t xml:space="preserve">     Tiger gift center</t>
  </si>
  <si>
    <t xml:space="preserve">     Tiger park</t>
  </si>
  <si>
    <t xml:space="preserve">     Union</t>
  </si>
  <si>
    <t xml:space="preserve">     University recreation </t>
  </si>
  <si>
    <t xml:space="preserve">     University recreation fields</t>
  </si>
  <si>
    <t xml:space="preserve">     West campus apartments</t>
  </si>
  <si>
    <t xml:space="preserve">     West Laville</t>
  </si>
  <si>
    <t xml:space="preserve">     X174 parking lot</t>
  </si>
  <si>
    <t xml:space="preserve">     624 parking lot</t>
  </si>
  <si>
    <t xml:space="preserve">         Total maintenance reserves</t>
  </si>
  <si>
    <t xml:space="preserve">     Patrick Taylor hall renovations</t>
  </si>
  <si>
    <t xml:space="preserve">     New Greek House</t>
  </si>
  <si>
    <t xml:space="preserve">     Union renovation for Career Services</t>
  </si>
  <si>
    <t xml:space="preserve">     Golf course improvements</t>
  </si>
  <si>
    <t xml:space="preserve">     Hilltop arboretum</t>
  </si>
  <si>
    <t xml:space="preserve">     Assembly center renovations</t>
  </si>
  <si>
    <t xml:space="preserve">     Press building renovation</t>
  </si>
  <si>
    <t xml:space="preserve">     Tiger stadium locker room repairs and renovations</t>
  </si>
  <si>
    <t xml:space="preserve">       Total State Facility Planning and Control</t>
  </si>
  <si>
    <t xml:space="preserve">       Infrastructure as a service and storage</t>
  </si>
  <si>
    <t xml:space="preserve">     Veterinary medicine linear accelerator vault</t>
  </si>
  <si>
    <t xml:space="preserve">     Family housing</t>
  </si>
  <si>
    <t xml:space="preserve">     University expansion</t>
  </si>
  <si>
    <t xml:space="preserve">     Annie Boyd hall</t>
  </si>
  <si>
    <t xml:space="preserve">     Easy streets</t>
  </si>
  <si>
    <t xml:space="preserve">     Parking garage</t>
  </si>
  <si>
    <t xml:space="preserve">     Cox center </t>
  </si>
  <si>
    <t xml:space="preserve">     Division of laboratory animal medicine farm operations</t>
  </si>
  <si>
    <t xml:space="preserve">     Band hall fencing</t>
  </si>
  <si>
    <t xml:space="preserve">     Campus master plan</t>
  </si>
  <si>
    <t xml:space="preserve">       Boyd hall</t>
  </si>
  <si>
    <t xml:space="preserve">       West campus apartments</t>
  </si>
  <si>
    <t xml:space="preserve">     Nicholson gateway </t>
  </si>
  <si>
    <t xml:space="preserve">     Family Housing Complex</t>
  </si>
  <si>
    <t xml:space="preserve">     Natatorium renovations and repairs</t>
  </si>
  <si>
    <t>For the year ended June 30, 2016</t>
  </si>
  <si>
    <t xml:space="preserve">       Frey fire suppression system</t>
  </si>
  <si>
    <t xml:space="preserve">     Dalrymple drive gateway signage</t>
  </si>
  <si>
    <t xml:space="preserve">     Health plan benefit administration system</t>
  </si>
  <si>
    <t xml:space="preserve">     JCI settlement</t>
  </si>
  <si>
    <t xml:space="preserve">     Grand Isle oyster hatchery</t>
  </si>
  <si>
    <t xml:space="preserve">     Maddox field house</t>
  </si>
  <si>
    <t xml:space="preserve">       Alex Box stadium</t>
  </si>
  <si>
    <t xml:space="preserve">       Football practice field</t>
  </si>
  <si>
    <t xml:space="preserve">       Volleyball locker room</t>
  </si>
  <si>
    <t xml:space="preserve">     Burden bridge replacement</t>
  </si>
  <si>
    <t xml:space="preserve">     Dairy science ice bank replacement</t>
  </si>
  <si>
    <t xml:space="preserve">       Laville hall</t>
  </si>
  <si>
    <t xml:space="preserve">       Warehouse</t>
  </si>
  <si>
    <t xml:space="preserve">       Technology upgrades</t>
  </si>
  <si>
    <t xml:space="preserve">     South campus drive roadway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</si>
</sst>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  <numFmt numFmtId="170" formatCode="d\-mmm\-yyyy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sz val="8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1"/>
      <color rgb="FF461D7C"/>
      <name val="Bodoni MT"/>
      <family val="1"/>
    </font>
    <font>
      <sz val="9"/>
      <color rgb="FF461D7C"/>
      <name val="Bodoni MT"/>
      <family val="1"/>
    </font>
    <font>
      <b/>
      <sz val="12"/>
      <color rgb="FF461D7C"/>
      <name val="Goudy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43" fillId="0" borderId="0" xfId="44" applyNumberFormat="1" applyFont="1" applyFill="1" applyBorder="1" applyAlignment="1" applyProtection="1">
      <alignment vertical="center"/>
      <protection/>
    </xf>
    <xf numFmtId="164" fontId="44" fillId="0" borderId="0" xfId="44" applyNumberFormat="1" applyFont="1" applyFill="1" applyBorder="1" applyAlignment="1" applyProtection="1">
      <alignment vertical="center"/>
      <protection/>
    </xf>
    <xf numFmtId="0" fontId="45" fillId="0" borderId="0" xfId="0" applyFont="1" applyAlignment="1">
      <alignment/>
    </xf>
    <xf numFmtId="164" fontId="43" fillId="0" borderId="0" xfId="44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Alignment="1" applyProtection="1">
      <alignment vertical="center"/>
      <protection/>
    </xf>
    <xf numFmtId="0" fontId="3" fillId="0" borderId="0" xfId="0" applyFont="1" applyFill="1" applyAlignment="1">
      <alignment/>
    </xf>
    <xf numFmtId="164" fontId="3" fillId="0" borderId="0" xfId="42" applyNumberFormat="1" applyFont="1" applyFill="1" applyAlignment="1" applyProtection="1">
      <alignment vertical="center"/>
      <protection/>
    </xf>
    <xf numFmtId="169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2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2" xfId="45" applyNumberFormat="1" applyFont="1" applyFill="1" applyBorder="1" applyAlignment="1" applyProtection="1">
      <alignment vertical="center"/>
      <protection/>
    </xf>
    <xf numFmtId="37" fontId="3" fillId="0" borderId="12" xfId="45" applyNumberFormat="1" applyFont="1" applyFill="1" applyBorder="1" applyAlignment="1" applyProtection="1">
      <alignment vertical="center"/>
      <protection/>
    </xf>
    <xf numFmtId="165" fontId="3" fillId="0" borderId="13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14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3" fontId="2" fillId="0" borderId="0" xfId="42" applyFont="1" applyFill="1" applyAlignment="1">
      <alignment/>
    </xf>
    <xf numFmtId="43" fontId="4" fillId="0" borderId="0" xfId="42" applyNumberFormat="1" applyFont="1" applyFill="1" applyBorder="1" applyAlignment="1" applyProtection="1">
      <alignment vertical="center"/>
      <protection/>
    </xf>
    <xf numFmtId="164" fontId="46" fillId="0" borderId="0" xfId="44" applyNumberFormat="1" applyFont="1" applyAlignment="1" applyProtection="1">
      <alignment vertical="center"/>
      <protection/>
    </xf>
    <xf numFmtId="164" fontId="2" fillId="0" borderId="0" xfId="42" applyNumberFormat="1" applyFont="1" applyFill="1" applyAlignment="1">
      <alignment/>
    </xf>
    <xf numFmtId="43" fontId="2" fillId="12" borderId="0" xfId="42" applyFont="1" applyFill="1" applyAlignment="1">
      <alignment/>
    </xf>
    <xf numFmtId="43" fontId="2" fillId="12" borderId="0" xfId="42" applyFont="1" applyFill="1" applyBorder="1" applyAlignment="1">
      <alignment/>
    </xf>
    <xf numFmtId="164" fontId="2" fillId="33" borderId="0" xfId="42" applyNumberFormat="1" applyFont="1" applyFill="1" applyAlignment="1">
      <alignment/>
    </xf>
    <xf numFmtId="164" fontId="2" fillId="13" borderId="0" xfId="42" applyNumberFormat="1" applyFont="1" applyFill="1" applyAlignment="1">
      <alignment/>
    </xf>
    <xf numFmtId="164" fontId="47" fillId="0" borderId="0" xfId="44" applyNumberFormat="1" applyFont="1" applyFill="1" applyBorder="1" applyAlignment="1" applyProtection="1">
      <alignment horizontal="center" vertical="center"/>
      <protection/>
    </xf>
    <xf numFmtId="164" fontId="46" fillId="0" borderId="0" xfId="44" applyNumberFormat="1" applyFont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  <dxf>
      <fill>
        <patternFill>
          <bgColor rgb="FFF5EC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1704975</xdr:colOff>
      <xdr:row>5</xdr:row>
      <xdr:rowOff>200025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5"/>
  <sheetViews>
    <sheetView tabSelected="1" zoomScaleSheetLayoutView="100" zoomScalePageLayoutView="0" workbookViewId="0" topLeftCell="A1">
      <selection activeCell="C33" sqref="C33"/>
    </sheetView>
  </sheetViews>
  <sheetFormatPr defaultColWidth="9.140625" defaultRowHeight="12.75"/>
  <cols>
    <col min="1" max="1" width="47.57421875" style="2" bestFit="1" customWidth="1"/>
    <col min="2" max="2" width="15.421875" style="2" bestFit="1" customWidth="1"/>
    <col min="3" max="3" width="1.7109375" style="2" customWidth="1"/>
    <col min="4" max="4" width="13.28125" style="2" bestFit="1" customWidth="1"/>
    <col min="5" max="5" width="1.7109375" style="2" customWidth="1"/>
    <col min="6" max="6" width="12.57421875" style="2" bestFit="1" customWidth="1"/>
    <col min="7" max="7" width="2.8515625" style="2" customWidth="1"/>
    <col min="8" max="8" width="13.421875" style="2" bestFit="1" customWidth="1"/>
    <col min="9" max="9" width="2.28125" style="2" customWidth="1"/>
    <col min="10" max="10" width="13.421875" style="25" bestFit="1" customWidth="1"/>
    <col min="11" max="11" width="13.57421875" style="25" bestFit="1" customWidth="1"/>
    <col min="12" max="12" width="11.140625" style="28" bestFit="1" customWidth="1"/>
    <col min="13" max="13" width="9.00390625" style="28" bestFit="1" customWidth="1"/>
    <col min="14" max="16384" width="9.140625" style="2" customWidth="1"/>
  </cols>
  <sheetData>
    <row r="1" ht="13.5" customHeight="1">
      <c r="A1" s="27"/>
    </row>
    <row r="2" ht="13.5" customHeight="1">
      <c r="A2" s="27"/>
    </row>
    <row r="3" spans="1:8" ht="16.5">
      <c r="A3" s="34"/>
      <c r="B3" s="33" t="s">
        <v>81</v>
      </c>
      <c r="C3" s="33"/>
      <c r="D3" s="33"/>
      <c r="E3" s="33"/>
      <c r="F3" s="33"/>
      <c r="G3" s="33"/>
      <c r="H3" s="33"/>
    </row>
    <row r="4" spans="1:8" ht="8.25" customHeight="1">
      <c r="A4" s="34"/>
      <c r="B4" s="5"/>
      <c r="C4" s="33"/>
      <c r="D4" s="33"/>
      <c r="E4" s="33"/>
      <c r="F4" s="33"/>
      <c r="G4" s="33"/>
      <c r="H4" s="6"/>
    </row>
    <row r="5" spans="1:8" ht="16.5">
      <c r="A5" s="34"/>
      <c r="B5" s="33" t="s">
        <v>82</v>
      </c>
      <c r="C5" s="33"/>
      <c r="D5" s="33"/>
      <c r="E5" s="33"/>
      <c r="F5" s="33"/>
      <c r="G5" s="33"/>
      <c r="H5" s="33"/>
    </row>
    <row r="6" spans="1:8" ht="16.5">
      <c r="A6" s="34"/>
      <c r="B6" s="33" t="s">
        <v>202</v>
      </c>
      <c r="C6" s="33"/>
      <c r="D6" s="33"/>
      <c r="E6" s="33"/>
      <c r="F6" s="33"/>
      <c r="G6" s="33"/>
      <c r="H6" s="33"/>
    </row>
    <row r="7" spans="1:7" ht="8.25" customHeight="1">
      <c r="A7" s="27"/>
      <c r="B7" s="4"/>
      <c r="C7" s="4"/>
      <c r="D7" s="4"/>
      <c r="E7" s="4"/>
      <c r="F7" s="4"/>
      <c r="G7" s="4"/>
    </row>
    <row r="8" spans="1:7" ht="10.5" customHeight="1">
      <c r="A8" s="27"/>
      <c r="B8" s="7"/>
      <c r="C8" s="7"/>
      <c r="D8" s="7"/>
      <c r="E8" s="7"/>
      <c r="F8" s="7"/>
      <c r="G8" s="7"/>
    </row>
    <row r="9" spans="1:7" ht="12.75">
      <c r="A9" s="8"/>
      <c r="B9" s="8"/>
      <c r="C9" s="8"/>
      <c r="D9" s="8"/>
      <c r="E9" s="8"/>
      <c r="F9" s="8"/>
      <c r="G9" s="8"/>
    </row>
    <row r="10" spans="1:8" ht="13.5">
      <c r="A10" s="10"/>
      <c r="B10" s="11">
        <v>42186</v>
      </c>
      <c r="C10" s="12"/>
      <c r="D10" s="13" t="s">
        <v>0</v>
      </c>
      <c r="E10" s="12"/>
      <c r="F10" s="13" t="s">
        <v>1</v>
      </c>
      <c r="G10" s="12"/>
      <c r="H10" s="11">
        <v>42551</v>
      </c>
    </row>
    <row r="11" spans="1:8" ht="13.5">
      <c r="A11" s="10"/>
      <c r="B11" s="14"/>
      <c r="C11" s="10"/>
      <c r="D11" s="14"/>
      <c r="E11" s="10"/>
      <c r="F11" s="14"/>
      <c r="G11" s="10"/>
      <c r="H11" s="14"/>
    </row>
    <row r="12" spans="1:8" ht="13.5">
      <c r="A12" s="10" t="s">
        <v>5</v>
      </c>
      <c r="B12" s="10"/>
      <c r="C12" s="10"/>
      <c r="D12" s="10"/>
      <c r="E12" s="10"/>
      <c r="F12" s="10"/>
      <c r="G12" s="10"/>
      <c r="H12" s="10"/>
    </row>
    <row r="13" spans="1:8" ht="13.5">
      <c r="A13" s="10" t="s">
        <v>6</v>
      </c>
      <c r="B13" s="10"/>
      <c r="C13" s="10"/>
      <c r="D13" s="10"/>
      <c r="E13" s="10"/>
      <c r="F13" s="10"/>
      <c r="G13" s="10"/>
      <c r="H13" s="10"/>
    </row>
    <row r="14" spans="1:8" ht="13.5">
      <c r="A14" s="10" t="s">
        <v>116</v>
      </c>
      <c r="B14" s="15">
        <v>0</v>
      </c>
      <c r="C14" s="10"/>
      <c r="D14" s="15">
        <f>14456+84682</f>
        <v>99138</v>
      </c>
      <c r="E14" s="10"/>
      <c r="F14" s="15">
        <f>14456+84682</f>
        <v>99138</v>
      </c>
      <c r="G14" s="10"/>
      <c r="H14" s="15">
        <f aca="true" t="shared" si="0" ref="H14:H26">B14+D14-F14</f>
        <v>0</v>
      </c>
    </row>
    <row r="15" spans="1:8" ht="13.5">
      <c r="A15" s="10" t="s">
        <v>80</v>
      </c>
      <c r="B15" s="10">
        <v>0</v>
      </c>
      <c r="C15" s="10"/>
      <c r="D15" s="10">
        <v>2688</v>
      </c>
      <c r="E15" s="10"/>
      <c r="F15" s="10">
        <v>2688</v>
      </c>
      <c r="G15" s="10"/>
      <c r="H15" s="10">
        <f t="shared" si="0"/>
        <v>0</v>
      </c>
    </row>
    <row r="16" spans="1:8" ht="13.5">
      <c r="A16" s="10" t="s">
        <v>7</v>
      </c>
      <c r="B16" s="10">
        <v>0</v>
      </c>
      <c r="C16" s="10"/>
      <c r="D16" s="10">
        <v>127053</v>
      </c>
      <c r="E16" s="10"/>
      <c r="F16" s="10">
        <v>127053</v>
      </c>
      <c r="G16" s="10"/>
      <c r="H16" s="10">
        <f t="shared" si="0"/>
        <v>0</v>
      </c>
    </row>
    <row r="17" spans="1:8" ht="13.5">
      <c r="A17" s="10" t="s">
        <v>90</v>
      </c>
      <c r="B17" s="10">
        <v>0</v>
      </c>
      <c r="C17" s="10"/>
      <c r="D17" s="10">
        <v>701</v>
      </c>
      <c r="E17" s="10"/>
      <c r="F17" s="10">
        <v>701</v>
      </c>
      <c r="G17" s="10"/>
      <c r="H17" s="10">
        <f t="shared" si="0"/>
        <v>0</v>
      </c>
    </row>
    <row r="18" spans="1:8" ht="13.5">
      <c r="A18" s="10" t="s">
        <v>200</v>
      </c>
      <c r="B18" s="10">
        <v>0</v>
      </c>
      <c r="C18" s="10"/>
      <c r="D18" s="10">
        <v>12340</v>
      </c>
      <c r="E18" s="10"/>
      <c r="F18" s="10">
        <v>12340</v>
      </c>
      <c r="G18" s="10"/>
      <c r="H18" s="10">
        <f t="shared" si="0"/>
        <v>0</v>
      </c>
    </row>
    <row r="19" spans="1:8" ht="13.5">
      <c r="A19" s="10" t="s">
        <v>138</v>
      </c>
      <c r="B19" s="10">
        <v>0</v>
      </c>
      <c r="C19" s="10"/>
      <c r="D19" s="10">
        <f>285923+2881011</f>
        <v>3166934</v>
      </c>
      <c r="E19" s="10"/>
      <c r="F19" s="10">
        <f>285923+2881011</f>
        <v>3166934</v>
      </c>
      <c r="G19" s="10"/>
      <c r="H19" s="10">
        <f t="shared" si="0"/>
        <v>0</v>
      </c>
    </row>
    <row r="20" spans="1:8" ht="13.5">
      <c r="A20" s="10" t="s">
        <v>178</v>
      </c>
      <c r="B20" s="10">
        <v>0</v>
      </c>
      <c r="C20" s="10"/>
      <c r="D20" s="10">
        <v>126704</v>
      </c>
      <c r="E20" s="10"/>
      <c r="F20" s="10">
        <v>126704</v>
      </c>
      <c r="G20" s="10"/>
      <c r="H20" s="10">
        <f t="shared" si="0"/>
        <v>0</v>
      </c>
    </row>
    <row r="21" spans="1:8" ht="13.5">
      <c r="A21" s="10" t="s">
        <v>199</v>
      </c>
      <c r="B21" s="10">
        <v>0</v>
      </c>
      <c r="C21" s="10"/>
      <c r="D21" s="10">
        <v>2526137</v>
      </c>
      <c r="E21" s="10"/>
      <c r="F21" s="10">
        <v>2526137</v>
      </c>
      <c r="G21" s="10"/>
      <c r="H21" s="10">
        <f t="shared" si="0"/>
        <v>0</v>
      </c>
    </row>
    <row r="22" spans="1:8" ht="13.5">
      <c r="A22" s="10" t="s">
        <v>122</v>
      </c>
      <c r="B22" s="10">
        <v>0</v>
      </c>
      <c r="C22" s="10"/>
      <c r="D22" s="10">
        <v>166534</v>
      </c>
      <c r="E22" s="10"/>
      <c r="F22" s="10">
        <v>166534</v>
      </c>
      <c r="G22" s="10"/>
      <c r="H22" s="10">
        <f t="shared" si="0"/>
        <v>0</v>
      </c>
    </row>
    <row r="23" spans="1:8" ht="13.5">
      <c r="A23" s="10" t="s">
        <v>177</v>
      </c>
      <c r="B23" s="10">
        <v>0</v>
      </c>
      <c r="C23" s="10"/>
      <c r="D23" s="10">
        <v>61308315</v>
      </c>
      <c r="E23" s="10"/>
      <c r="F23" s="10">
        <v>61308315</v>
      </c>
      <c r="G23" s="10"/>
      <c r="H23" s="10">
        <f t="shared" si="0"/>
        <v>0</v>
      </c>
    </row>
    <row r="24" spans="1:8" ht="13.5">
      <c r="A24" s="10" t="s">
        <v>217</v>
      </c>
      <c r="B24" s="10">
        <v>0</v>
      </c>
      <c r="C24" s="10"/>
      <c r="D24" s="10">
        <v>49954</v>
      </c>
      <c r="E24" s="10"/>
      <c r="F24" s="10">
        <v>49954</v>
      </c>
      <c r="G24" s="10"/>
      <c r="H24" s="10">
        <f t="shared" si="0"/>
        <v>0</v>
      </c>
    </row>
    <row r="25" spans="1:8" ht="13.5">
      <c r="A25" s="10" t="s">
        <v>179</v>
      </c>
      <c r="B25" s="10">
        <v>0</v>
      </c>
      <c r="C25" s="10"/>
      <c r="D25" s="10">
        <v>31909</v>
      </c>
      <c r="E25" s="10"/>
      <c r="F25" s="10">
        <v>31909</v>
      </c>
      <c r="G25" s="10"/>
      <c r="H25" s="10">
        <f>B25+D25-F25</f>
        <v>0</v>
      </c>
    </row>
    <row r="26" spans="1:8" ht="13.5">
      <c r="A26" s="10" t="s">
        <v>139</v>
      </c>
      <c r="B26" s="10">
        <v>0</v>
      </c>
      <c r="C26" s="10"/>
      <c r="D26" s="10">
        <v>12724</v>
      </c>
      <c r="E26" s="10"/>
      <c r="F26" s="10">
        <v>12724</v>
      </c>
      <c r="G26" s="10"/>
      <c r="H26" s="10">
        <f t="shared" si="0"/>
        <v>0</v>
      </c>
    </row>
    <row r="27" spans="1:8" ht="13.5">
      <c r="A27" s="10" t="s">
        <v>185</v>
      </c>
      <c r="B27" s="16">
        <v>0</v>
      </c>
      <c r="C27" s="10"/>
      <c r="D27" s="16">
        <f>SUM(D13:D26)</f>
        <v>67631131</v>
      </c>
      <c r="E27" s="10"/>
      <c r="F27" s="16">
        <f>SUM(F13:F26)</f>
        <v>67631131</v>
      </c>
      <c r="G27" s="10"/>
      <c r="H27" s="16">
        <f>SUM(H13:H26)</f>
        <v>0</v>
      </c>
    </row>
    <row r="28" spans="1:8" ht="13.5">
      <c r="A28" s="10"/>
      <c r="B28" s="10"/>
      <c r="C28" s="10"/>
      <c r="D28" s="10"/>
      <c r="E28" s="10"/>
      <c r="F28" s="10"/>
      <c r="G28" s="10"/>
      <c r="H28" s="10"/>
    </row>
    <row r="29" spans="1:8" ht="13.5">
      <c r="A29" s="10" t="s">
        <v>8</v>
      </c>
      <c r="B29" s="10"/>
      <c r="C29" s="10"/>
      <c r="D29" s="10"/>
      <c r="E29" s="10"/>
      <c r="F29" s="10"/>
      <c r="G29" s="10"/>
      <c r="H29" s="10"/>
    </row>
    <row r="30" spans="1:8" ht="13.5">
      <c r="A30" s="10" t="s">
        <v>98</v>
      </c>
      <c r="B30" s="12"/>
      <c r="C30" s="12"/>
      <c r="D30" s="12"/>
      <c r="E30" s="12"/>
      <c r="F30" s="12"/>
      <c r="G30" s="12"/>
      <c r="H30" s="10"/>
    </row>
    <row r="31" spans="1:11" ht="13.5">
      <c r="A31" s="10" t="s">
        <v>117</v>
      </c>
      <c r="B31" s="12">
        <v>822256</v>
      </c>
      <c r="C31" s="12"/>
      <c r="D31" s="12">
        <v>-797396</v>
      </c>
      <c r="E31" s="12"/>
      <c r="F31" s="12">
        <v>24860</v>
      </c>
      <c r="G31" s="12"/>
      <c r="H31" s="10">
        <f aca="true" t="shared" si="1" ref="H31:H48">+B31+D31-F31</f>
        <v>0</v>
      </c>
      <c r="J31" s="25">
        <v>0</v>
      </c>
      <c r="K31" s="25">
        <f aca="true" t="shared" si="2" ref="K31:K47">ROUND(J31,0)-H31</f>
        <v>0</v>
      </c>
    </row>
    <row r="32" spans="1:11" ht="13.5">
      <c r="A32" s="10" t="s">
        <v>92</v>
      </c>
      <c r="B32" s="12">
        <v>202684</v>
      </c>
      <c r="C32" s="12"/>
      <c r="D32" s="12">
        <v>341</v>
      </c>
      <c r="E32" s="12"/>
      <c r="F32" s="12">
        <v>203025</v>
      </c>
      <c r="G32" s="12"/>
      <c r="H32" s="10">
        <f t="shared" si="1"/>
        <v>0</v>
      </c>
      <c r="J32" s="25">
        <v>0</v>
      </c>
      <c r="K32" s="25">
        <f t="shared" si="2"/>
        <v>0</v>
      </c>
    </row>
    <row r="33" spans="1:11" ht="13.5">
      <c r="A33" s="10" t="s">
        <v>97</v>
      </c>
      <c r="B33" s="12"/>
      <c r="C33" s="12"/>
      <c r="D33" s="12"/>
      <c r="E33" s="12"/>
      <c r="F33" s="12"/>
      <c r="G33" s="12"/>
      <c r="H33" s="10"/>
      <c r="K33" s="25">
        <f t="shared" si="2"/>
        <v>0</v>
      </c>
    </row>
    <row r="34" spans="1:11" ht="13.5">
      <c r="A34" s="10" t="s">
        <v>93</v>
      </c>
      <c r="B34" s="12">
        <v>680366</v>
      </c>
      <c r="C34" s="12"/>
      <c r="D34" s="12">
        <v>734</v>
      </c>
      <c r="E34" s="12"/>
      <c r="F34" s="12">
        <v>681100</v>
      </c>
      <c r="G34" s="12"/>
      <c r="H34" s="10">
        <f t="shared" si="1"/>
        <v>0</v>
      </c>
      <c r="J34" s="25">
        <v>0</v>
      </c>
      <c r="K34" s="25">
        <f t="shared" si="2"/>
        <v>0</v>
      </c>
    </row>
    <row r="35" spans="1:11" ht="13.5">
      <c r="A35" s="10" t="s">
        <v>94</v>
      </c>
      <c r="B35" s="12">
        <v>610355</v>
      </c>
      <c r="C35" s="12"/>
      <c r="D35" s="12">
        <v>1532</v>
      </c>
      <c r="E35" s="12"/>
      <c r="F35" s="12">
        <v>2839</v>
      </c>
      <c r="G35" s="12"/>
      <c r="H35" s="10">
        <f t="shared" si="1"/>
        <v>609048</v>
      </c>
      <c r="J35" s="25">
        <v>609048.23</v>
      </c>
      <c r="K35" s="25">
        <f t="shared" si="2"/>
        <v>0</v>
      </c>
    </row>
    <row r="36" spans="1:8" ht="13.5">
      <c r="A36" s="10" t="s">
        <v>96</v>
      </c>
      <c r="B36" s="12"/>
      <c r="C36" s="12"/>
      <c r="D36" s="12"/>
      <c r="E36" s="12"/>
      <c r="F36" s="12"/>
      <c r="G36" s="12"/>
      <c r="H36" s="10"/>
    </row>
    <row r="37" spans="1:11" ht="13.5">
      <c r="A37" s="10" t="s">
        <v>108</v>
      </c>
      <c r="B37" s="12">
        <v>138634</v>
      </c>
      <c r="C37" s="12"/>
      <c r="D37" s="12">
        <f>335+1</f>
        <v>336</v>
      </c>
      <c r="E37" s="12"/>
      <c r="F37" s="12">
        <v>0</v>
      </c>
      <c r="G37" s="12"/>
      <c r="H37" s="10">
        <f t="shared" si="1"/>
        <v>138970</v>
      </c>
      <c r="J37" s="29">
        <v>138969.95</v>
      </c>
      <c r="K37" s="29">
        <f t="shared" si="2"/>
        <v>0</v>
      </c>
    </row>
    <row r="38" spans="1:11" ht="13.5">
      <c r="A38" s="10" t="s">
        <v>95</v>
      </c>
      <c r="B38" s="12">
        <v>125430</v>
      </c>
      <c r="C38" s="12"/>
      <c r="D38" s="12">
        <f>304-1</f>
        <v>303</v>
      </c>
      <c r="E38" s="12"/>
      <c r="F38" s="12">
        <v>0</v>
      </c>
      <c r="G38" s="12"/>
      <c r="H38" s="10">
        <f t="shared" si="1"/>
        <v>125733</v>
      </c>
      <c r="J38" s="29">
        <v>125733.12</v>
      </c>
      <c r="K38" s="29">
        <f t="shared" si="2"/>
        <v>0</v>
      </c>
    </row>
    <row r="39" spans="1:11" ht="13.5">
      <c r="A39" s="10" t="s">
        <v>126</v>
      </c>
      <c r="B39" s="12">
        <v>6559253</v>
      </c>
      <c r="C39" s="12"/>
      <c r="D39" s="12">
        <v>15870</v>
      </c>
      <c r="E39" s="12"/>
      <c r="F39" s="12">
        <v>0</v>
      </c>
      <c r="G39" s="12"/>
      <c r="H39" s="10">
        <f t="shared" si="1"/>
        <v>6575123</v>
      </c>
      <c r="J39" s="25">
        <v>6575122.86</v>
      </c>
      <c r="K39" s="25">
        <f t="shared" si="2"/>
        <v>0</v>
      </c>
    </row>
    <row r="40" spans="1:11" ht="13.5">
      <c r="A40" s="10" t="s">
        <v>140</v>
      </c>
      <c r="B40" s="12">
        <v>5001878</v>
      </c>
      <c r="C40" s="12"/>
      <c r="D40" s="12">
        <f>9199+1</f>
        <v>9200</v>
      </c>
      <c r="E40" s="12"/>
      <c r="F40" s="12">
        <f>2806201+1</f>
        <v>2806202</v>
      </c>
      <c r="G40" s="12"/>
      <c r="H40" s="10">
        <f t="shared" si="1"/>
        <v>2204876</v>
      </c>
      <c r="J40" s="29">
        <v>2204876.1</v>
      </c>
      <c r="K40" s="29">
        <f t="shared" si="2"/>
        <v>0</v>
      </c>
    </row>
    <row r="41" spans="1:11" ht="13.5">
      <c r="A41" s="10" t="s">
        <v>109</v>
      </c>
      <c r="B41" s="12">
        <v>4266661</v>
      </c>
      <c r="C41" s="12"/>
      <c r="D41" s="12">
        <v>9951</v>
      </c>
      <c r="E41" s="12"/>
      <c r="F41" s="12">
        <v>186157</v>
      </c>
      <c r="G41" s="12"/>
      <c r="H41" s="10">
        <f t="shared" si="1"/>
        <v>4090455</v>
      </c>
      <c r="J41" s="25">
        <v>4090454.87</v>
      </c>
      <c r="K41" s="25">
        <f t="shared" si="2"/>
        <v>0</v>
      </c>
    </row>
    <row r="42" spans="1:11" ht="13.5">
      <c r="A42" s="10" t="s">
        <v>91</v>
      </c>
      <c r="B42" s="12">
        <v>145083</v>
      </c>
      <c r="C42" s="12"/>
      <c r="D42" s="12">
        <v>351</v>
      </c>
      <c r="E42" s="12"/>
      <c r="F42" s="12">
        <v>0</v>
      </c>
      <c r="G42" s="12"/>
      <c r="H42" s="10">
        <f t="shared" si="1"/>
        <v>145434</v>
      </c>
      <c r="J42" s="25">
        <v>145433.92</v>
      </c>
      <c r="K42" s="25">
        <f t="shared" si="2"/>
        <v>0</v>
      </c>
    </row>
    <row r="43" spans="1:11" ht="13.5">
      <c r="A43" s="10" t="s">
        <v>39</v>
      </c>
      <c r="B43" s="12">
        <v>154085</v>
      </c>
      <c r="C43" s="12"/>
      <c r="D43" s="12">
        <v>373</v>
      </c>
      <c r="E43" s="12"/>
      <c r="F43" s="12">
        <v>0</v>
      </c>
      <c r="G43" s="12"/>
      <c r="H43" s="10">
        <f t="shared" si="1"/>
        <v>154458</v>
      </c>
      <c r="J43" s="25">
        <v>154457.72</v>
      </c>
      <c r="K43" s="25">
        <f t="shared" si="2"/>
        <v>0</v>
      </c>
    </row>
    <row r="44" spans="1:8" ht="13.5">
      <c r="A44" s="10" t="s">
        <v>124</v>
      </c>
      <c r="B44" s="12"/>
      <c r="C44" s="12"/>
      <c r="D44" s="12"/>
      <c r="E44" s="12"/>
      <c r="F44" s="12"/>
      <c r="G44" s="12"/>
      <c r="H44" s="10"/>
    </row>
    <row r="45" spans="1:11" ht="13.5">
      <c r="A45" s="10" t="s">
        <v>125</v>
      </c>
      <c r="B45" s="12">
        <v>5585433</v>
      </c>
      <c r="C45" s="12"/>
      <c r="D45" s="12">
        <v>3308</v>
      </c>
      <c r="E45" s="12"/>
      <c r="F45" s="12">
        <v>4871214</v>
      </c>
      <c r="G45" s="12"/>
      <c r="H45" s="10">
        <f t="shared" si="1"/>
        <v>717527</v>
      </c>
      <c r="J45" s="25">
        <v>717526.63</v>
      </c>
      <c r="K45" s="25">
        <f t="shared" si="2"/>
        <v>0</v>
      </c>
    </row>
    <row r="46" spans="1:11" ht="13.5">
      <c r="A46" s="10" t="s">
        <v>126</v>
      </c>
      <c r="B46" s="12">
        <v>866959</v>
      </c>
      <c r="C46" s="12"/>
      <c r="D46" s="12">
        <f>548-1</f>
        <v>547</v>
      </c>
      <c r="E46" s="12"/>
      <c r="F46" s="12">
        <v>0</v>
      </c>
      <c r="G46" s="12"/>
      <c r="H46" s="10">
        <f t="shared" si="1"/>
        <v>867506</v>
      </c>
      <c r="J46" s="29">
        <v>867506.19</v>
      </c>
      <c r="K46" s="29">
        <f t="shared" si="2"/>
        <v>0</v>
      </c>
    </row>
    <row r="47" spans="1:11" ht="13.5">
      <c r="A47" s="10" t="s">
        <v>127</v>
      </c>
      <c r="B47" s="12">
        <v>50429875</v>
      </c>
      <c r="C47" s="12"/>
      <c r="D47" s="12">
        <f>19274+1</f>
        <v>19275</v>
      </c>
      <c r="E47" s="12"/>
      <c r="F47" s="12">
        <v>24921048</v>
      </c>
      <c r="G47" s="12"/>
      <c r="H47" s="10">
        <f t="shared" si="1"/>
        <v>25528102</v>
      </c>
      <c r="J47" s="29">
        <v>25528102.31</v>
      </c>
      <c r="K47" s="29">
        <f t="shared" si="2"/>
        <v>0</v>
      </c>
    </row>
    <row r="48" spans="1:11" ht="13.5">
      <c r="A48" s="10" t="s">
        <v>44</v>
      </c>
      <c r="B48" s="16">
        <f>SUM(B30:B47)</f>
        <v>75588952</v>
      </c>
      <c r="C48" s="12"/>
      <c r="D48" s="16">
        <f>SUM(D30:D47)</f>
        <v>-735275</v>
      </c>
      <c r="E48" s="12"/>
      <c r="F48" s="16">
        <f>SUM(F30:F47)</f>
        <v>33696445</v>
      </c>
      <c r="G48" s="12"/>
      <c r="H48" s="16">
        <f t="shared" si="1"/>
        <v>41157232</v>
      </c>
      <c r="J48" s="25">
        <f>SUM(J31:J47)</f>
        <v>41157231.9</v>
      </c>
      <c r="K48" s="25">
        <f>ROUND(J48,0)-H48</f>
        <v>0</v>
      </c>
    </row>
    <row r="49" spans="1:8" ht="13.5">
      <c r="A49" s="10"/>
      <c r="B49" s="10"/>
      <c r="C49" s="12"/>
      <c r="D49" s="10"/>
      <c r="E49" s="12"/>
      <c r="F49" s="10"/>
      <c r="G49" s="12"/>
      <c r="H49" s="10"/>
    </row>
    <row r="50" spans="1:8" ht="13.5">
      <c r="A50" s="10" t="s">
        <v>9</v>
      </c>
      <c r="B50" s="10"/>
      <c r="C50" s="10"/>
      <c r="D50" s="10"/>
      <c r="E50" s="10"/>
      <c r="F50" s="10"/>
      <c r="G50" s="12"/>
      <c r="H50" s="10"/>
    </row>
    <row r="51" spans="1:8" ht="13.5">
      <c r="A51" s="10" t="s">
        <v>10</v>
      </c>
      <c r="B51" s="10"/>
      <c r="C51" s="10"/>
      <c r="D51" s="10"/>
      <c r="E51" s="10"/>
      <c r="F51" s="10"/>
      <c r="G51" s="10"/>
      <c r="H51" s="10"/>
    </row>
    <row r="52" spans="1:11" ht="13.5">
      <c r="A52" s="10" t="s">
        <v>11</v>
      </c>
      <c r="B52" s="10">
        <v>32334</v>
      </c>
      <c r="C52" s="10"/>
      <c r="D52" s="10">
        <v>0</v>
      </c>
      <c r="E52" s="10"/>
      <c r="F52" s="10">
        <v>0</v>
      </c>
      <c r="G52" s="10"/>
      <c r="H52" s="10">
        <f aca="true" t="shared" si="3" ref="H52:H69">+B52+D52-F52</f>
        <v>32334</v>
      </c>
      <c r="J52" s="25">
        <v>32333.88</v>
      </c>
      <c r="K52" s="25">
        <f>ROUND(J52,0)-H52</f>
        <v>0</v>
      </c>
    </row>
    <row r="53" spans="1:11" ht="13.5">
      <c r="A53" s="10" t="s">
        <v>42</v>
      </c>
      <c r="B53" s="10">
        <v>825198</v>
      </c>
      <c r="C53" s="10"/>
      <c r="D53" s="10">
        <f>15483+55565</f>
        <v>71048</v>
      </c>
      <c r="E53" s="10"/>
      <c r="F53" s="10">
        <v>19556</v>
      </c>
      <c r="G53" s="10"/>
      <c r="H53" s="10">
        <f t="shared" si="3"/>
        <v>876690</v>
      </c>
      <c r="J53" s="25">
        <f>821125.65+55565</f>
        <v>876690.65</v>
      </c>
      <c r="K53" s="25">
        <f aca="true" t="shared" si="4" ref="K53:K69">ROUND(J53,0)-H53</f>
        <v>1</v>
      </c>
    </row>
    <row r="54" spans="1:8" ht="13.5">
      <c r="A54" s="10" t="s">
        <v>48</v>
      </c>
      <c r="B54" s="10"/>
      <c r="C54" s="10"/>
      <c r="D54" s="10"/>
      <c r="E54" s="10"/>
      <c r="F54" s="10"/>
      <c r="G54" s="10"/>
      <c r="H54" s="10"/>
    </row>
    <row r="55" spans="1:11" ht="13.5">
      <c r="A55" s="10" t="s">
        <v>144</v>
      </c>
      <c r="B55" s="10">
        <v>2170</v>
      </c>
      <c r="C55" s="10"/>
      <c r="D55" s="10">
        <v>9618</v>
      </c>
      <c r="E55" s="10"/>
      <c r="F55" s="10">
        <v>0</v>
      </c>
      <c r="G55" s="10"/>
      <c r="H55" s="10">
        <f t="shared" si="3"/>
        <v>11788</v>
      </c>
      <c r="J55" s="25">
        <v>11787.76</v>
      </c>
      <c r="K55" s="25">
        <f t="shared" si="4"/>
        <v>0</v>
      </c>
    </row>
    <row r="56" spans="1:11" ht="13.5">
      <c r="A56" s="10" t="s">
        <v>203</v>
      </c>
      <c r="B56" s="10">
        <v>0</v>
      </c>
      <c r="C56" s="10"/>
      <c r="D56" s="10">
        <v>900000</v>
      </c>
      <c r="E56" s="10"/>
      <c r="F56" s="10">
        <v>54</v>
      </c>
      <c r="G56" s="10"/>
      <c r="H56" s="10">
        <f t="shared" si="3"/>
        <v>899946</v>
      </c>
      <c r="J56" s="25">
        <v>899945.75</v>
      </c>
      <c r="K56" s="25">
        <f t="shared" si="4"/>
        <v>0</v>
      </c>
    </row>
    <row r="57" spans="1:11" ht="13.5">
      <c r="A57" s="10" t="s">
        <v>76</v>
      </c>
      <c r="B57" s="10">
        <v>34487</v>
      </c>
      <c r="C57" s="10"/>
      <c r="D57" s="10">
        <f>6783-1</f>
        <v>6782</v>
      </c>
      <c r="E57" s="10"/>
      <c r="F57" s="10">
        <v>0</v>
      </c>
      <c r="G57" s="10"/>
      <c r="H57" s="10">
        <f t="shared" si="3"/>
        <v>41269</v>
      </c>
      <c r="J57" s="29">
        <v>41269.31</v>
      </c>
      <c r="K57" s="29">
        <f t="shared" si="4"/>
        <v>0</v>
      </c>
    </row>
    <row r="58" spans="1:11" ht="13.5">
      <c r="A58" s="10" t="s">
        <v>186</v>
      </c>
      <c r="B58" s="10">
        <v>100000</v>
      </c>
      <c r="C58" s="10"/>
      <c r="D58" s="10">
        <v>100000</v>
      </c>
      <c r="E58" s="10"/>
      <c r="F58" s="10">
        <v>0</v>
      </c>
      <c r="G58" s="10"/>
      <c r="H58" s="10">
        <f t="shared" si="3"/>
        <v>200000</v>
      </c>
      <c r="J58" s="25">
        <v>200000</v>
      </c>
      <c r="K58" s="25">
        <f t="shared" si="4"/>
        <v>0</v>
      </c>
    </row>
    <row r="59" spans="1:11" ht="13.5">
      <c r="A59" s="10" t="s">
        <v>52</v>
      </c>
      <c r="B59" s="10">
        <v>12202</v>
      </c>
      <c r="C59" s="10"/>
      <c r="D59" s="10">
        <v>0</v>
      </c>
      <c r="E59" s="10"/>
      <c r="F59" s="10">
        <v>0</v>
      </c>
      <c r="G59" s="10"/>
      <c r="H59" s="10">
        <f t="shared" si="3"/>
        <v>12202</v>
      </c>
      <c r="J59" s="25">
        <v>12202</v>
      </c>
      <c r="K59" s="25">
        <f t="shared" si="4"/>
        <v>0</v>
      </c>
    </row>
    <row r="60" spans="1:11" ht="13.5">
      <c r="A60" s="10" t="s">
        <v>53</v>
      </c>
      <c r="B60" s="10">
        <v>18936</v>
      </c>
      <c r="C60" s="10"/>
      <c r="D60" s="10">
        <v>0</v>
      </c>
      <c r="E60" s="10"/>
      <c r="F60" s="10">
        <v>9531</v>
      </c>
      <c r="G60" s="10"/>
      <c r="H60" s="10">
        <f t="shared" si="3"/>
        <v>9405</v>
      </c>
      <c r="J60" s="25">
        <v>9405.46</v>
      </c>
      <c r="K60" s="25">
        <f t="shared" si="4"/>
        <v>0</v>
      </c>
    </row>
    <row r="61" spans="1:11" ht="13.5">
      <c r="A61" s="10" t="s">
        <v>64</v>
      </c>
      <c r="B61" s="10">
        <v>49483</v>
      </c>
      <c r="C61" s="10"/>
      <c r="D61" s="10">
        <v>0</v>
      </c>
      <c r="E61" s="10"/>
      <c r="F61" s="10">
        <v>0</v>
      </c>
      <c r="G61" s="10"/>
      <c r="H61" s="10">
        <f t="shared" si="3"/>
        <v>49483</v>
      </c>
      <c r="J61" s="25">
        <v>49483.08</v>
      </c>
      <c r="K61" s="25">
        <f t="shared" si="4"/>
        <v>0</v>
      </c>
    </row>
    <row r="62" spans="1:11" ht="13.5">
      <c r="A62" s="10" t="s">
        <v>65</v>
      </c>
      <c r="B62" s="10">
        <v>40228</v>
      </c>
      <c r="C62" s="10"/>
      <c r="D62" s="10">
        <v>1182</v>
      </c>
      <c r="E62" s="10"/>
      <c r="F62" s="10">
        <v>0</v>
      </c>
      <c r="G62" s="10"/>
      <c r="H62" s="10">
        <f t="shared" si="3"/>
        <v>41410</v>
      </c>
      <c r="J62" s="25">
        <v>41410</v>
      </c>
      <c r="K62" s="25">
        <f t="shared" si="4"/>
        <v>0</v>
      </c>
    </row>
    <row r="63" spans="1:11" ht="13.5">
      <c r="A63" s="10" t="s">
        <v>54</v>
      </c>
      <c r="B63" s="10">
        <v>78592</v>
      </c>
      <c r="C63" s="10"/>
      <c r="D63" s="10">
        <f>980+1</f>
        <v>981</v>
      </c>
      <c r="E63" s="10"/>
      <c r="F63" s="10">
        <v>0</v>
      </c>
      <c r="G63" s="10"/>
      <c r="H63" s="10">
        <f t="shared" si="3"/>
        <v>79573</v>
      </c>
      <c r="J63" s="29">
        <v>79573</v>
      </c>
      <c r="K63" s="29">
        <f t="shared" si="4"/>
        <v>0</v>
      </c>
    </row>
    <row r="64" spans="1:11" ht="13.5">
      <c r="A64" s="10" t="s">
        <v>154</v>
      </c>
      <c r="B64" s="10">
        <v>123996</v>
      </c>
      <c r="C64" s="10"/>
      <c r="D64" s="10">
        <v>144042</v>
      </c>
      <c r="E64" s="10">
        <v>7845</v>
      </c>
      <c r="F64" s="10">
        <v>0</v>
      </c>
      <c r="G64" s="10"/>
      <c r="H64" s="10">
        <f t="shared" si="3"/>
        <v>268038</v>
      </c>
      <c r="J64" s="25">
        <v>268037.83</v>
      </c>
      <c r="K64" s="25">
        <f t="shared" si="4"/>
        <v>0</v>
      </c>
    </row>
    <row r="65" spans="1:11" ht="13.5">
      <c r="A65" s="10" t="s">
        <v>55</v>
      </c>
      <c r="B65" s="12">
        <v>167668</v>
      </c>
      <c r="C65" s="12"/>
      <c r="D65" s="10">
        <v>200000</v>
      </c>
      <c r="E65" s="10"/>
      <c r="F65" s="10">
        <v>0</v>
      </c>
      <c r="G65" s="12"/>
      <c r="H65" s="12">
        <f t="shared" si="3"/>
        <v>367668</v>
      </c>
      <c r="J65" s="25">
        <v>367667.68</v>
      </c>
      <c r="K65" s="25">
        <f t="shared" si="4"/>
        <v>0</v>
      </c>
    </row>
    <row r="66" spans="1:11" ht="13.5">
      <c r="A66" s="10" t="s">
        <v>56</v>
      </c>
      <c r="B66" s="12">
        <v>2191920</v>
      </c>
      <c r="C66" s="12"/>
      <c r="D66" s="10">
        <v>-650000</v>
      </c>
      <c r="E66" s="10"/>
      <c r="F66" s="10">
        <v>0</v>
      </c>
      <c r="G66" s="12"/>
      <c r="H66" s="12">
        <f t="shared" si="3"/>
        <v>1541920</v>
      </c>
      <c r="J66" s="25">
        <v>1541920.19</v>
      </c>
      <c r="K66" s="25">
        <f t="shared" si="4"/>
        <v>0</v>
      </c>
    </row>
    <row r="67" spans="1:11" ht="13.5">
      <c r="A67" s="10" t="s">
        <v>57</v>
      </c>
      <c r="B67" s="10">
        <v>141161</v>
      </c>
      <c r="C67" s="10"/>
      <c r="D67" s="10">
        <v>23534</v>
      </c>
      <c r="E67" s="10"/>
      <c r="F67" s="10">
        <v>10554</v>
      </c>
      <c r="G67" s="10"/>
      <c r="H67" s="10">
        <f t="shared" si="3"/>
        <v>154141</v>
      </c>
      <c r="J67" s="25">
        <v>154140.81</v>
      </c>
      <c r="K67" s="25">
        <f t="shared" si="4"/>
        <v>0</v>
      </c>
    </row>
    <row r="68" spans="1:11" ht="13.5">
      <c r="A68" s="10" t="s">
        <v>136</v>
      </c>
      <c r="B68" s="10">
        <v>2999028</v>
      </c>
      <c r="C68" s="10"/>
      <c r="D68" s="10">
        <f>236336-1</f>
        <v>236335</v>
      </c>
      <c r="E68" s="10"/>
      <c r="F68" s="10">
        <v>0</v>
      </c>
      <c r="G68" s="10"/>
      <c r="H68" s="10">
        <f t="shared" si="3"/>
        <v>3235363</v>
      </c>
      <c r="J68" s="29">
        <v>3235363.33</v>
      </c>
      <c r="K68" s="29">
        <f t="shared" si="4"/>
        <v>0</v>
      </c>
    </row>
    <row r="69" spans="1:11" ht="13.5">
      <c r="A69" s="10" t="s">
        <v>137</v>
      </c>
      <c r="B69" s="10">
        <v>4584251</v>
      </c>
      <c r="C69" s="10"/>
      <c r="D69" s="10">
        <v>3216415</v>
      </c>
      <c r="E69" s="10"/>
      <c r="F69" s="10">
        <v>0</v>
      </c>
      <c r="G69" s="10"/>
      <c r="H69" s="10">
        <f t="shared" si="3"/>
        <v>7800666</v>
      </c>
      <c r="J69" s="25">
        <f>6028905.51+1771760.57</f>
        <v>7800666.08</v>
      </c>
      <c r="K69" s="25">
        <f t="shared" si="4"/>
        <v>0</v>
      </c>
    </row>
    <row r="70" spans="1:11" ht="13.5">
      <c r="A70" s="10" t="s">
        <v>49</v>
      </c>
      <c r="B70" s="17">
        <f>SUM(B52:B69)</f>
        <v>11401654</v>
      </c>
      <c r="C70" s="12"/>
      <c r="D70" s="17">
        <f>SUM(D52:D69)</f>
        <v>4259937</v>
      </c>
      <c r="E70" s="12"/>
      <c r="F70" s="17">
        <f>SUM(F52:F69)</f>
        <v>39695</v>
      </c>
      <c r="G70" s="12"/>
      <c r="H70" s="17">
        <f>SUM(H52:H69)</f>
        <v>15621896</v>
      </c>
      <c r="J70" s="25">
        <f>SUM(J52:J69)</f>
        <v>15621896.809999999</v>
      </c>
      <c r="K70" s="25">
        <f>ROUND(J70,0)-H70</f>
        <v>1</v>
      </c>
    </row>
    <row r="71" spans="1:8" ht="13.5">
      <c r="A71" s="10" t="s">
        <v>12</v>
      </c>
      <c r="B71" s="10"/>
      <c r="C71" s="10"/>
      <c r="D71" s="10"/>
      <c r="E71" s="10"/>
      <c r="F71" s="10"/>
      <c r="G71" s="10"/>
      <c r="H71" s="10"/>
    </row>
    <row r="72" spans="1:8" ht="13.5">
      <c r="A72" s="10" t="s">
        <v>13</v>
      </c>
      <c r="B72" s="10"/>
      <c r="C72" s="10"/>
      <c r="D72" s="10"/>
      <c r="E72" s="10"/>
      <c r="F72" s="10"/>
      <c r="G72" s="10"/>
      <c r="H72" s="10"/>
    </row>
    <row r="73" spans="1:12" ht="13.5">
      <c r="A73" s="10" t="s">
        <v>66</v>
      </c>
      <c r="B73" s="10">
        <v>36902</v>
      </c>
      <c r="C73" s="10"/>
      <c r="D73" s="10">
        <v>0</v>
      </c>
      <c r="E73" s="10"/>
      <c r="F73" s="10">
        <v>0</v>
      </c>
      <c r="G73" s="10"/>
      <c r="H73" s="10">
        <f aca="true" t="shared" si="5" ref="H73:H98">+B73+D73-F73</f>
        <v>36902</v>
      </c>
      <c r="J73" s="25">
        <v>36902.35</v>
      </c>
      <c r="K73" s="25">
        <f>ROUND(J73,0)-H73</f>
        <v>0</v>
      </c>
      <c r="L73" s="32"/>
    </row>
    <row r="74" spans="1:12" ht="13.5">
      <c r="A74" s="10" t="s">
        <v>209</v>
      </c>
      <c r="B74" s="10">
        <v>0</v>
      </c>
      <c r="C74" s="10"/>
      <c r="D74" s="10">
        <v>460000</v>
      </c>
      <c r="E74" s="10"/>
      <c r="F74" s="10">
        <v>22024</v>
      </c>
      <c r="G74" s="10"/>
      <c r="H74" s="10">
        <f t="shared" si="5"/>
        <v>437976</v>
      </c>
      <c r="J74" s="25">
        <v>437976</v>
      </c>
      <c r="K74" s="25">
        <f>ROUND(J74,0)-H74</f>
        <v>0</v>
      </c>
      <c r="L74" s="32"/>
    </row>
    <row r="75" spans="1:12" ht="13.5">
      <c r="A75" s="10" t="s">
        <v>15</v>
      </c>
      <c r="B75" s="10">
        <v>1551111</v>
      </c>
      <c r="C75" s="10"/>
      <c r="D75" s="10">
        <v>2174959</v>
      </c>
      <c r="E75" s="10"/>
      <c r="F75" s="10">
        <v>374627</v>
      </c>
      <c r="G75" s="10"/>
      <c r="H75" s="10">
        <f t="shared" si="5"/>
        <v>3351443</v>
      </c>
      <c r="J75" s="25">
        <v>3351442.55</v>
      </c>
      <c r="K75" s="25">
        <f aca="true" t="shared" si="6" ref="K75:K136">ROUND(J75,0)-H75</f>
        <v>0</v>
      </c>
      <c r="L75" s="32"/>
    </row>
    <row r="76" spans="1:12" ht="13.5">
      <c r="A76" s="10" t="s">
        <v>16</v>
      </c>
      <c r="B76" s="10">
        <v>169032</v>
      </c>
      <c r="C76" s="10"/>
      <c r="D76" s="10">
        <v>-624</v>
      </c>
      <c r="E76" s="10"/>
      <c r="F76" s="10">
        <v>0</v>
      </c>
      <c r="G76" s="10"/>
      <c r="H76" s="10">
        <f t="shared" si="5"/>
        <v>168408</v>
      </c>
      <c r="J76" s="25">
        <v>168408.24</v>
      </c>
      <c r="K76" s="25">
        <f t="shared" si="6"/>
        <v>0</v>
      </c>
      <c r="L76" s="32"/>
    </row>
    <row r="77" spans="1:12" ht="13.5">
      <c r="A77" s="10" t="s">
        <v>145</v>
      </c>
      <c r="B77" s="10">
        <v>1134</v>
      </c>
      <c r="C77" s="10"/>
      <c r="D77" s="10">
        <v>0</v>
      </c>
      <c r="E77" s="10"/>
      <c r="F77" s="10">
        <v>0</v>
      </c>
      <c r="G77" s="10"/>
      <c r="H77" s="10">
        <f t="shared" si="5"/>
        <v>1134</v>
      </c>
      <c r="J77" s="25">
        <v>1134</v>
      </c>
      <c r="K77" s="25">
        <f t="shared" si="6"/>
        <v>0</v>
      </c>
      <c r="L77" s="32"/>
    </row>
    <row r="78" spans="1:12" ht="13.5">
      <c r="A78" s="10" t="s">
        <v>210</v>
      </c>
      <c r="B78" s="10">
        <v>0</v>
      </c>
      <c r="C78" s="10"/>
      <c r="D78" s="10">
        <v>650000</v>
      </c>
      <c r="E78" s="10"/>
      <c r="F78" s="10">
        <v>0</v>
      </c>
      <c r="G78" s="10"/>
      <c r="H78" s="10">
        <f t="shared" si="5"/>
        <v>650000</v>
      </c>
      <c r="J78" s="25">
        <v>650000</v>
      </c>
      <c r="K78" s="25">
        <f t="shared" si="6"/>
        <v>0</v>
      </c>
      <c r="L78" s="32"/>
    </row>
    <row r="79" spans="1:12" ht="13.5">
      <c r="A79" s="10" t="s">
        <v>101</v>
      </c>
      <c r="B79" s="10">
        <v>22380790</v>
      </c>
      <c r="C79" s="10"/>
      <c r="D79" s="10">
        <v>2082439</v>
      </c>
      <c r="E79" s="10"/>
      <c r="F79" s="10">
        <v>0</v>
      </c>
      <c r="G79" s="10"/>
      <c r="H79" s="10">
        <f t="shared" si="5"/>
        <v>24463229</v>
      </c>
      <c r="J79" s="25">
        <v>24463229.31</v>
      </c>
      <c r="K79" s="25">
        <f t="shared" si="6"/>
        <v>0</v>
      </c>
      <c r="L79" s="32"/>
    </row>
    <row r="80" spans="1:12" ht="13.5">
      <c r="A80" s="10" t="s">
        <v>17</v>
      </c>
      <c r="B80" s="10">
        <v>878509</v>
      </c>
      <c r="C80" s="10"/>
      <c r="D80" s="10">
        <v>0</v>
      </c>
      <c r="E80" s="10"/>
      <c r="F80" s="10">
        <v>0</v>
      </c>
      <c r="G80" s="10"/>
      <c r="H80" s="10">
        <f t="shared" si="5"/>
        <v>878509</v>
      </c>
      <c r="J80" s="25">
        <v>878508.69</v>
      </c>
      <c r="K80" s="25">
        <f t="shared" si="6"/>
        <v>0</v>
      </c>
      <c r="L80" s="32"/>
    </row>
    <row r="81" spans="1:12" ht="13.5">
      <c r="A81" s="10" t="s">
        <v>69</v>
      </c>
      <c r="B81" s="10">
        <v>147545</v>
      </c>
      <c r="C81" s="10"/>
      <c r="D81" s="10">
        <v>0</v>
      </c>
      <c r="E81" s="10"/>
      <c r="F81" s="10">
        <v>0</v>
      </c>
      <c r="G81" s="10"/>
      <c r="H81" s="10">
        <f t="shared" si="5"/>
        <v>147545</v>
      </c>
      <c r="J81" s="25">
        <v>147545.33</v>
      </c>
      <c r="K81" s="25">
        <f t="shared" si="6"/>
        <v>0</v>
      </c>
      <c r="L81" s="32"/>
    </row>
    <row r="82" spans="1:12" ht="13.5">
      <c r="A82" s="10" t="s">
        <v>146</v>
      </c>
      <c r="B82" s="10">
        <v>561177</v>
      </c>
      <c r="C82" s="10"/>
      <c r="D82" s="10">
        <v>0</v>
      </c>
      <c r="E82" s="10"/>
      <c r="F82" s="10">
        <v>0</v>
      </c>
      <c r="G82" s="10"/>
      <c r="H82" s="10">
        <f t="shared" si="5"/>
        <v>561177</v>
      </c>
      <c r="J82" s="25">
        <v>561177.27</v>
      </c>
      <c r="K82" s="25">
        <f t="shared" si="6"/>
        <v>0</v>
      </c>
      <c r="L82" s="32"/>
    </row>
    <row r="83" spans="1:12" ht="13.5">
      <c r="A83" s="10" t="s">
        <v>22</v>
      </c>
      <c r="B83" s="10">
        <v>8035</v>
      </c>
      <c r="C83" s="10"/>
      <c r="D83" s="10">
        <v>0</v>
      </c>
      <c r="E83" s="10"/>
      <c r="F83" s="10">
        <v>0</v>
      </c>
      <c r="G83" s="10"/>
      <c r="H83" s="10">
        <f t="shared" si="5"/>
        <v>8035</v>
      </c>
      <c r="J83" s="25">
        <v>8035.18</v>
      </c>
      <c r="K83" s="25">
        <f t="shared" si="6"/>
        <v>0</v>
      </c>
      <c r="L83" s="32"/>
    </row>
    <row r="84" spans="1:12" ht="13.5">
      <c r="A84" s="10" t="s">
        <v>23</v>
      </c>
      <c r="B84" s="10">
        <v>227341</v>
      </c>
      <c r="C84" s="10"/>
      <c r="D84" s="10">
        <v>1000000</v>
      </c>
      <c r="E84" s="10"/>
      <c r="F84" s="10">
        <v>0</v>
      </c>
      <c r="G84" s="10"/>
      <c r="H84" s="10">
        <f t="shared" si="5"/>
        <v>1227341</v>
      </c>
      <c r="J84" s="25">
        <v>1227340.88</v>
      </c>
      <c r="K84" s="25">
        <f t="shared" si="6"/>
        <v>0</v>
      </c>
      <c r="L84" s="32"/>
    </row>
    <row r="85" spans="1:12" ht="13.5">
      <c r="A85" s="10" t="s">
        <v>24</v>
      </c>
      <c r="B85" s="10">
        <v>41090</v>
      </c>
      <c r="C85" s="10"/>
      <c r="D85" s="10">
        <v>0</v>
      </c>
      <c r="E85" s="10"/>
      <c r="F85" s="10">
        <v>0</v>
      </c>
      <c r="G85" s="10"/>
      <c r="H85" s="10">
        <f t="shared" si="5"/>
        <v>41090</v>
      </c>
      <c r="J85" s="25">
        <v>41090.25</v>
      </c>
      <c r="K85" s="25">
        <f t="shared" si="6"/>
        <v>0</v>
      </c>
      <c r="L85" s="32"/>
    </row>
    <row r="86" spans="1:12" ht="13.5">
      <c r="A86" s="10" t="s">
        <v>211</v>
      </c>
      <c r="B86" s="10">
        <v>0</v>
      </c>
      <c r="C86" s="10"/>
      <c r="D86" s="10">
        <v>180000</v>
      </c>
      <c r="E86" s="10"/>
      <c r="F86" s="10">
        <v>29314</v>
      </c>
      <c r="G86" s="10"/>
      <c r="H86" s="10">
        <f t="shared" si="5"/>
        <v>150686</v>
      </c>
      <c r="J86" s="25">
        <v>150685.61</v>
      </c>
      <c r="K86" s="25">
        <f t="shared" si="6"/>
        <v>0</v>
      </c>
      <c r="L86" s="32"/>
    </row>
    <row r="87" spans="1:12" ht="13.5">
      <c r="A87" s="10" t="s">
        <v>25</v>
      </c>
      <c r="B87" s="10">
        <v>12431</v>
      </c>
      <c r="C87" s="10"/>
      <c r="D87" s="10">
        <v>0</v>
      </c>
      <c r="E87" s="10"/>
      <c r="F87" s="10">
        <v>0</v>
      </c>
      <c r="G87" s="10"/>
      <c r="H87" s="10">
        <f t="shared" si="5"/>
        <v>12431</v>
      </c>
      <c r="J87" s="29">
        <v>12431.56</v>
      </c>
      <c r="K87" s="29">
        <f t="shared" si="6"/>
        <v>1</v>
      </c>
      <c r="L87" s="32"/>
    </row>
    <row r="88" spans="1:12" ht="13.5">
      <c r="A88" s="10" t="s">
        <v>26</v>
      </c>
      <c r="B88" s="10">
        <v>517677</v>
      </c>
      <c r="C88" s="10"/>
      <c r="D88" s="10">
        <v>0</v>
      </c>
      <c r="E88" s="10"/>
      <c r="F88" s="10">
        <v>0</v>
      </c>
      <c r="G88" s="10"/>
      <c r="H88" s="10">
        <f t="shared" si="5"/>
        <v>517677</v>
      </c>
      <c r="J88" s="25">
        <v>517677.22</v>
      </c>
      <c r="K88" s="25">
        <f t="shared" si="6"/>
        <v>0</v>
      </c>
      <c r="L88" s="32"/>
    </row>
    <row r="89" spans="1:12" ht="13.5">
      <c r="A89" s="10" t="s">
        <v>195</v>
      </c>
      <c r="B89" s="10">
        <v>250</v>
      </c>
      <c r="C89" s="10"/>
      <c r="D89" s="10">
        <v>0</v>
      </c>
      <c r="E89" s="10"/>
      <c r="F89" s="10">
        <v>0</v>
      </c>
      <c r="G89" s="10"/>
      <c r="H89" s="10">
        <f t="shared" si="5"/>
        <v>250</v>
      </c>
      <c r="J89" s="25">
        <v>250</v>
      </c>
      <c r="K89" s="25">
        <f t="shared" si="6"/>
        <v>0</v>
      </c>
      <c r="L89" s="32"/>
    </row>
    <row r="90" spans="1:12" ht="13.5">
      <c r="A90" s="10" t="s">
        <v>79</v>
      </c>
      <c r="B90" s="10">
        <v>693708</v>
      </c>
      <c r="C90" s="10"/>
      <c r="D90" s="10">
        <v>0</v>
      </c>
      <c r="E90" s="10"/>
      <c r="F90" s="10">
        <v>0</v>
      </c>
      <c r="G90" s="10"/>
      <c r="H90" s="10">
        <f t="shared" si="5"/>
        <v>693708</v>
      </c>
      <c r="J90" s="25">
        <v>693708.13</v>
      </c>
      <c r="K90" s="25">
        <f t="shared" si="6"/>
        <v>0</v>
      </c>
      <c r="L90" s="32"/>
    </row>
    <row r="91" spans="1:12" ht="13.5">
      <c r="A91" s="10" t="s">
        <v>212</v>
      </c>
      <c r="B91" s="10">
        <v>0</v>
      </c>
      <c r="C91" s="10"/>
      <c r="D91" s="10">
        <v>250000</v>
      </c>
      <c r="E91" s="10"/>
      <c r="F91" s="10">
        <v>0</v>
      </c>
      <c r="G91" s="10"/>
      <c r="H91" s="10">
        <f t="shared" si="5"/>
        <v>250000</v>
      </c>
      <c r="J91" s="25">
        <v>250000</v>
      </c>
      <c r="K91" s="25">
        <f t="shared" si="6"/>
        <v>0</v>
      </c>
      <c r="L91" s="32"/>
    </row>
    <row r="92" spans="1:12" ht="13.5">
      <c r="A92" s="10" t="s">
        <v>147</v>
      </c>
      <c r="B92" s="12">
        <v>5020632</v>
      </c>
      <c r="C92" s="10"/>
      <c r="D92" s="12">
        <v>697000</v>
      </c>
      <c r="E92" s="10"/>
      <c r="F92" s="12">
        <v>0</v>
      </c>
      <c r="G92" s="10"/>
      <c r="H92" s="12">
        <f>+B92+D92-F92</f>
        <v>5717632</v>
      </c>
      <c r="J92" s="25">
        <v>5717632.02</v>
      </c>
      <c r="K92" s="25">
        <f t="shared" si="6"/>
        <v>0</v>
      </c>
      <c r="L92" s="32"/>
    </row>
    <row r="93" spans="1:12" ht="13.5">
      <c r="A93" s="10" t="s">
        <v>196</v>
      </c>
      <c r="B93" s="12">
        <v>1058645</v>
      </c>
      <c r="C93" s="10"/>
      <c r="D93" s="12">
        <v>1200000</v>
      </c>
      <c r="E93" s="10"/>
      <c r="F93" s="12">
        <v>564745</v>
      </c>
      <c r="G93" s="10"/>
      <c r="H93" s="12">
        <f>+B93+D93-F93</f>
        <v>1693900</v>
      </c>
      <c r="J93" s="25">
        <v>1693899.87</v>
      </c>
      <c r="K93" s="25">
        <f t="shared" si="6"/>
        <v>0</v>
      </c>
      <c r="L93" s="32"/>
    </row>
    <row r="94" spans="1:12" ht="13.5">
      <c r="A94" s="10" t="s">
        <v>18</v>
      </c>
      <c r="B94" s="10">
        <v>238606</v>
      </c>
      <c r="C94" s="10"/>
      <c r="D94" s="10">
        <v>91644</v>
      </c>
      <c r="E94" s="10"/>
      <c r="F94" s="10">
        <v>46555</v>
      </c>
      <c r="G94" s="10"/>
      <c r="H94" s="10">
        <f t="shared" si="5"/>
        <v>283695</v>
      </c>
      <c r="J94" s="25">
        <v>283695.22</v>
      </c>
      <c r="K94" s="25">
        <f t="shared" si="6"/>
        <v>0</v>
      </c>
      <c r="L94" s="32"/>
    </row>
    <row r="95" spans="1:12" ht="13.5">
      <c r="A95" s="10" t="s">
        <v>135</v>
      </c>
      <c r="B95" s="10">
        <v>2174357</v>
      </c>
      <c r="C95" s="10"/>
      <c r="D95" s="10">
        <v>-526285</v>
      </c>
      <c r="E95" s="10"/>
      <c r="F95" s="10">
        <f>727340-1</f>
        <v>727339</v>
      </c>
      <c r="G95" s="10"/>
      <c r="H95" s="10">
        <f t="shared" si="5"/>
        <v>920733</v>
      </c>
      <c r="J95" s="29">
        <v>920732.69</v>
      </c>
      <c r="K95" s="29">
        <f t="shared" si="6"/>
        <v>0</v>
      </c>
      <c r="L95" s="32"/>
    </row>
    <row r="96" spans="1:12" ht="13.5">
      <c r="A96" s="10" t="s">
        <v>19</v>
      </c>
      <c r="B96" s="10">
        <v>540639</v>
      </c>
      <c r="C96" s="10"/>
      <c r="D96" s="10">
        <v>581626</v>
      </c>
      <c r="E96" s="10"/>
      <c r="F96" s="10">
        <v>101087</v>
      </c>
      <c r="G96" s="10"/>
      <c r="H96" s="10">
        <f t="shared" si="5"/>
        <v>1021178</v>
      </c>
      <c r="J96" s="25">
        <v>1021177.81</v>
      </c>
      <c r="K96" s="25">
        <f t="shared" si="6"/>
        <v>0</v>
      </c>
      <c r="L96" s="32"/>
    </row>
    <row r="97" spans="1:12" ht="13.5">
      <c r="A97" s="10" t="s">
        <v>102</v>
      </c>
      <c r="B97" s="10">
        <v>192707</v>
      </c>
      <c r="C97" s="10"/>
      <c r="D97" s="10">
        <v>45000</v>
      </c>
      <c r="E97" s="10"/>
      <c r="F97" s="10">
        <f>10625+1</f>
        <v>10626</v>
      </c>
      <c r="G97" s="10"/>
      <c r="H97" s="10">
        <f t="shared" si="5"/>
        <v>227081</v>
      </c>
      <c r="J97" s="29">
        <v>227081.3</v>
      </c>
      <c r="K97" s="29">
        <f t="shared" si="6"/>
        <v>0</v>
      </c>
      <c r="L97" s="32"/>
    </row>
    <row r="98" spans="1:12" ht="13.5">
      <c r="A98" s="10" t="s">
        <v>213</v>
      </c>
      <c r="B98" s="10">
        <v>0</v>
      </c>
      <c r="C98" s="10"/>
      <c r="D98" s="10">
        <v>78600</v>
      </c>
      <c r="E98" s="10"/>
      <c r="F98" s="10">
        <v>0</v>
      </c>
      <c r="G98" s="10"/>
      <c r="H98" s="10">
        <f t="shared" si="5"/>
        <v>78600</v>
      </c>
      <c r="J98" s="25">
        <v>78600</v>
      </c>
      <c r="K98" s="25">
        <f t="shared" si="6"/>
        <v>0</v>
      </c>
      <c r="L98" s="32"/>
    </row>
    <row r="99" spans="1:12" ht="13.5">
      <c r="A99" s="10" t="s">
        <v>72</v>
      </c>
      <c r="B99" s="10">
        <v>41739</v>
      </c>
      <c r="C99" s="10"/>
      <c r="D99" s="10">
        <v>0</v>
      </c>
      <c r="E99" s="10"/>
      <c r="F99" s="10">
        <v>0</v>
      </c>
      <c r="G99" s="10"/>
      <c r="H99" s="10">
        <f aca="true" t="shared" si="7" ref="H99:H109">+B99+D99-F99</f>
        <v>41739</v>
      </c>
      <c r="J99" s="25">
        <v>41739</v>
      </c>
      <c r="K99" s="25">
        <f t="shared" si="6"/>
        <v>0</v>
      </c>
      <c r="L99" s="32"/>
    </row>
    <row r="100" spans="1:12" ht="13.5">
      <c r="A100" s="10" t="s">
        <v>20</v>
      </c>
      <c r="B100" s="10">
        <v>3936292</v>
      </c>
      <c r="C100" s="10"/>
      <c r="D100" s="10">
        <v>1671400</v>
      </c>
      <c r="E100" s="10"/>
      <c r="F100" s="10">
        <v>546789</v>
      </c>
      <c r="G100" s="10"/>
      <c r="H100" s="10">
        <f t="shared" si="7"/>
        <v>5060903</v>
      </c>
      <c r="J100" s="25">
        <v>5060902.53</v>
      </c>
      <c r="K100" s="25">
        <f t="shared" si="6"/>
        <v>0</v>
      </c>
      <c r="L100" s="32"/>
    </row>
    <row r="101" spans="1:12" ht="13.5">
      <c r="A101" s="10" t="s">
        <v>104</v>
      </c>
      <c r="B101" s="10">
        <v>15481941</v>
      </c>
      <c r="C101" s="10"/>
      <c r="D101" s="10">
        <v>3841883</v>
      </c>
      <c r="E101" s="10"/>
      <c r="F101" s="10">
        <f>9994021-1</f>
        <v>9994020</v>
      </c>
      <c r="G101" s="10"/>
      <c r="H101" s="10">
        <f t="shared" si="7"/>
        <v>9329804</v>
      </c>
      <c r="J101" s="29">
        <v>9329803.73</v>
      </c>
      <c r="K101" s="29">
        <f t="shared" si="6"/>
        <v>0</v>
      </c>
      <c r="L101" s="32"/>
    </row>
    <row r="102" spans="1:12" ht="13.5">
      <c r="A102" s="10" t="s">
        <v>119</v>
      </c>
      <c r="B102" s="10">
        <v>309263</v>
      </c>
      <c r="C102" s="10"/>
      <c r="D102" s="10">
        <v>-41883</v>
      </c>
      <c r="E102" s="10"/>
      <c r="F102" s="10">
        <v>267380</v>
      </c>
      <c r="G102" s="10"/>
      <c r="H102" s="10">
        <f t="shared" si="7"/>
        <v>0</v>
      </c>
      <c r="J102" s="25">
        <v>-0.44</v>
      </c>
      <c r="K102" s="25">
        <f t="shared" si="6"/>
        <v>0</v>
      </c>
      <c r="L102" s="32"/>
    </row>
    <row r="103" spans="1:12" ht="13.5">
      <c r="A103" s="10" t="s">
        <v>77</v>
      </c>
      <c r="B103" s="10">
        <v>967711</v>
      </c>
      <c r="C103" s="10"/>
      <c r="D103" s="10">
        <v>0</v>
      </c>
      <c r="E103" s="10"/>
      <c r="F103" s="10">
        <v>373461</v>
      </c>
      <c r="G103" s="10"/>
      <c r="H103" s="10">
        <f>+B103+D103-F103</f>
        <v>594250</v>
      </c>
      <c r="J103" s="25">
        <v>594249.51</v>
      </c>
      <c r="K103" s="25">
        <f t="shared" si="6"/>
        <v>0</v>
      </c>
      <c r="L103" s="32"/>
    </row>
    <row r="104" spans="1:12" ht="13.5">
      <c r="A104" s="10" t="s">
        <v>42</v>
      </c>
      <c r="B104" s="10">
        <v>22747</v>
      </c>
      <c r="C104" s="10"/>
      <c r="D104" s="10">
        <v>0</v>
      </c>
      <c r="E104" s="10"/>
      <c r="F104" s="10">
        <v>0</v>
      </c>
      <c r="G104" s="10"/>
      <c r="H104" s="10">
        <f>+B104+D104-F104</f>
        <v>22747</v>
      </c>
      <c r="J104" s="25">
        <v>22746.78</v>
      </c>
      <c r="K104" s="25">
        <f t="shared" si="6"/>
        <v>0</v>
      </c>
      <c r="L104" s="32"/>
    </row>
    <row r="105" spans="1:12" ht="13.5">
      <c r="A105" s="10" t="s">
        <v>58</v>
      </c>
      <c r="B105" s="10">
        <v>441843</v>
      </c>
      <c r="C105" s="10"/>
      <c r="D105" s="10">
        <v>0</v>
      </c>
      <c r="E105" s="10"/>
      <c r="F105" s="10">
        <v>0</v>
      </c>
      <c r="G105" s="10"/>
      <c r="H105" s="10">
        <f t="shared" si="7"/>
        <v>441843</v>
      </c>
      <c r="J105" s="25">
        <v>441842.85</v>
      </c>
      <c r="K105" s="25">
        <f t="shared" si="6"/>
        <v>0</v>
      </c>
      <c r="L105" s="32"/>
    </row>
    <row r="106" spans="1:12" ht="13.5">
      <c r="A106" s="10" t="s">
        <v>180</v>
      </c>
      <c r="B106" s="10">
        <v>14842</v>
      </c>
      <c r="C106" s="10"/>
      <c r="D106" s="10">
        <v>0</v>
      </c>
      <c r="E106" s="10"/>
      <c r="F106" s="10">
        <v>0</v>
      </c>
      <c r="G106" s="10"/>
      <c r="H106" s="10">
        <f t="shared" si="7"/>
        <v>14842</v>
      </c>
      <c r="J106" s="25">
        <v>14842.19</v>
      </c>
      <c r="K106" s="25">
        <f t="shared" si="6"/>
        <v>0</v>
      </c>
      <c r="L106" s="32"/>
    </row>
    <row r="107" spans="1:12" ht="13.5">
      <c r="A107" s="10" t="s">
        <v>85</v>
      </c>
      <c r="B107" s="10">
        <v>604754</v>
      </c>
      <c r="C107" s="10"/>
      <c r="D107" s="10">
        <v>0</v>
      </c>
      <c r="E107" s="10"/>
      <c r="F107" s="10">
        <v>0</v>
      </c>
      <c r="G107" s="10"/>
      <c r="H107" s="10">
        <f t="shared" si="7"/>
        <v>604754</v>
      </c>
      <c r="J107" s="25">
        <v>604753.7</v>
      </c>
      <c r="K107" s="25">
        <f t="shared" si="6"/>
        <v>0</v>
      </c>
      <c r="L107" s="32"/>
    </row>
    <row r="108" spans="1:12" ht="13.5">
      <c r="A108" s="10" t="s">
        <v>128</v>
      </c>
      <c r="B108" s="10">
        <v>916240</v>
      </c>
      <c r="C108" s="10"/>
      <c r="D108" s="10">
        <v>308105</v>
      </c>
      <c r="E108" s="10"/>
      <c r="F108" s="10">
        <v>0</v>
      </c>
      <c r="G108" s="10"/>
      <c r="H108" s="10">
        <f t="shared" si="7"/>
        <v>1224345</v>
      </c>
      <c r="J108" s="25">
        <v>1224345.49</v>
      </c>
      <c r="K108" s="25">
        <f t="shared" si="6"/>
        <v>0</v>
      </c>
      <c r="L108" s="32"/>
    </row>
    <row r="109" spans="1:12" ht="13.5">
      <c r="A109" s="10" t="s">
        <v>59</v>
      </c>
      <c r="B109" s="10">
        <v>1071847</v>
      </c>
      <c r="C109" s="10"/>
      <c r="D109" s="10">
        <v>0</v>
      </c>
      <c r="E109" s="10"/>
      <c r="F109" s="10">
        <v>-595</v>
      </c>
      <c r="G109" s="10"/>
      <c r="H109" s="10">
        <f t="shared" si="7"/>
        <v>1072442</v>
      </c>
      <c r="J109" s="30">
        <v>1072441.41</v>
      </c>
      <c r="K109" s="29">
        <f t="shared" si="6"/>
        <v>-1</v>
      </c>
      <c r="L109" s="32"/>
    </row>
    <row r="110" spans="1:12" ht="13.5">
      <c r="A110" s="10" t="s">
        <v>110</v>
      </c>
      <c r="B110" s="10">
        <v>399460</v>
      </c>
      <c r="C110" s="10"/>
      <c r="D110" s="10">
        <v>-100000</v>
      </c>
      <c r="E110" s="10"/>
      <c r="F110" s="10">
        <v>36681</v>
      </c>
      <c r="G110" s="10"/>
      <c r="H110" s="10">
        <f>+B110+D110-F110</f>
        <v>262779</v>
      </c>
      <c r="J110" s="25">
        <v>262779</v>
      </c>
      <c r="K110" s="25">
        <f t="shared" si="6"/>
        <v>0</v>
      </c>
      <c r="L110" s="32"/>
    </row>
    <row r="111" spans="1:12" ht="13.5">
      <c r="A111" s="10" t="s">
        <v>103</v>
      </c>
      <c r="B111" s="10">
        <v>3557845</v>
      </c>
      <c r="C111" s="10"/>
      <c r="D111" s="10">
        <v>500000</v>
      </c>
      <c r="E111" s="10"/>
      <c r="F111" s="10">
        <v>360650</v>
      </c>
      <c r="G111" s="10"/>
      <c r="H111" s="10">
        <f>+B111+D111-F111</f>
        <v>3697195</v>
      </c>
      <c r="J111" s="25">
        <v>3697195</v>
      </c>
      <c r="K111" s="25">
        <f t="shared" si="6"/>
        <v>0</v>
      </c>
      <c r="L111" s="32"/>
    </row>
    <row r="112" spans="1:12" ht="13.5">
      <c r="A112" s="10" t="s">
        <v>148</v>
      </c>
      <c r="B112" s="10">
        <v>1500000</v>
      </c>
      <c r="C112" s="10"/>
      <c r="D112" s="10">
        <v>1000000</v>
      </c>
      <c r="E112" s="10"/>
      <c r="F112" s="10">
        <v>0</v>
      </c>
      <c r="G112" s="10"/>
      <c r="H112" s="10">
        <f>+B112+D112-F112</f>
        <v>2500000</v>
      </c>
      <c r="J112" s="25">
        <v>2500000</v>
      </c>
      <c r="K112" s="25">
        <f t="shared" si="6"/>
        <v>0</v>
      </c>
      <c r="L112" s="32"/>
    </row>
    <row r="113" spans="1:8" ht="13.5">
      <c r="A113" s="10" t="s">
        <v>123</v>
      </c>
      <c r="B113" s="10"/>
      <c r="C113" s="10"/>
      <c r="D113" s="10"/>
      <c r="E113" s="10"/>
      <c r="F113" s="10"/>
      <c r="G113" s="10"/>
      <c r="H113" s="10"/>
    </row>
    <row r="114" spans="1:12" ht="13.5">
      <c r="A114" s="10" t="s">
        <v>60</v>
      </c>
      <c r="B114" s="10">
        <v>613235</v>
      </c>
      <c r="C114" s="10"/>
      <c r="D114" s="10">
        <v>1138367</v>
      </c>
      <c r="E114" s="10"/>
      <c r="F114" s="10">
        <v>192430</v>
      </c>
      <c r="G114" s="10"/>
      <c r="H114" s="10">
        <f>+B114+D114-F114</f>
        <v>1559172</v>
      </c>
      <c r="J114" s="25">
        <v>1559171.94</v>
      </c>
      <c r="K114" s="25">
        <f t="shared" si="6"/>
        <v>0</v>
      </c>
      <c r="L114" s="32"/>
    </row>
    <row r="115" spans="1:12" ht="13.5">
      <c r="A115" s="10" t="s">
        <v>105</v>
      </c>
      <c r="B115" s="10">
        <v>79136</v>
      </c>
      <c r="C115" s="10"/>
      <c r="D115" s="10">
        <v>103000</v>
      </c>
      <c r="E115" s="10"/>
      <c r="F115" s="10">
        <v>132736</v>
      </c>
      <c r="G115" s="10"/>
      <c r="H115" s="10">
        <f>+B115+D115-F115</f>
        <v>49400</v>
      </c>
      <c r="J115" s="25">
        <v>49400.1</v>
      </c>
      <c r="K115" s="25">
        <f t="shared" si="6"/>
        <v>0</v>
      </c>
      <c r="L115" s="32"/>
    </row>
    <row r="116" spans="1:8" ht="13.5">
      <c r="A116" s="10" t="s">
        <v>21</v>
      </c>
      <c r="B116" s="10" t="s">
        <v>2</v>
      </c>
      <c r="C116" s="10"/>
      <c r="D116" s="10"/>
      <c r="E116" s="10"/>
      <c r="F116" s="10"/>
      <c r="G116" s="10"/>
      <c r="H116" s="10" t="s">
        <v>2</v>
      </c>
    </row>
    <row r="117" spans="1:12" ht="13.5">
      <c r="A117" s="10" t="s">
        <v>28</v>
      </c>
      <c r="B117" s="10">
        <f>224056+12447</f>
        <v>236503</v>
      </c>
      <c r="C117" s="10"/>
      <c r="D117" s="10">
        <f>57924+1</f>
        <v>57925</v>
      </c>
      <c r="E117" s="10"/>
      <c r="F117" s="10">
        <f>205548+1</f>
        <v>205549</v>
      </c>
      <c r="G117" s="10"/>
      <c r="H117" s="10">
        <f>B117+D117-F117</f>
        <v>88879</v>
      </c>
      <c r="J117" s="25">
        <v>88879.25</v>
      </c>
      <c r="K117" s="25">
        <f t="shared" si="6"/>
        <v>0</v>
      </c>
      <c r="L117" s="32"/>
    </row>
    <row r="118" spans="1:12" ht="13.5">
      <c r="A118" s="10" t="s">
        <v>197</v>
      </c>
      <c r="B118" s="10">
        <v>60000</v>
      </c>
      <c r="C118" s="10"/>
      <c r="D118" s="10">
        <v>0</v>
      </c>
      <c r="E118" s="10"/>
      <c r="F118" s="10">
        <v>16241</v>
      </c>
      <c r="G118" s="10"/>
      <c r="H118" s="10">
        <f>B118+D118-F118</f>
        <v>43759</v>
      </c>
      <c r="J118" s="25">
        <v>43759</v>
      </c>
      <c r="K118" s="25">
        <f t="shared" si="6"/>
        <v>0</v>
      </c>
      <c r="L118" s="32"/>
    </row>
    <row r="119" spans="1:12" ht="13.5">
      <c r="A119" s="10" t="s">
        <v>29</v>
      </c>
      <c r="B119" s="10">
        <v>146119</v>
      </c>
      <c r="C119" s="10"/>
      <c r="D119" s="10">
        <v>-16639</v>
      </c>
      <c r="E119" s="10"/>
      <c r="F119" s="10">
        <v>0</v>
      </c>
      <c r="G119" s="10"/>
      <c r="H119" s="10">
        <f aca="true" t="shared" si="8" ref="H119:H125">+B119+D119-F119</f>
        <v>129480</v>
      </c>
      <c r="J119" s="25">
        <v>129480</v>
      </c>
      <c r="K119" s="25">
        <f t="shared" si="6"/>
        <v>0</v>
      </c>
      <c r="L119" s="32"/>
    </row>
    <row r="120" spans="1:12" ht="13.5">
      <c r="A120" s="10" t="s">
        <v>125</v>
      </c>
      <c r="B120" s="10">
        <v>111324</v>
      </c>
      <c r="C120" s="10"/>
      <c r="D120" s="10">
        <v>-13174</v>
      </c>
      <c r="E120" s="10"/>
      <c r="F120" s="10">
        <v>53584</v>
      </c>
      <c r="G120" s="10"/>
      <c r="H120" s="10">
        <f t="shared" si="8"/>
        <v>44566</v>
      </c>
      <c r="J120" s="25">
        <v>44565.7</v>
      </c>
      <c r="K120" s="25">
        <f t="shared" si="6"/>
        <v>0</v>
      </c>
      <c r="L120" s="32"/>
    </row>
    <row r="121" spans="1:12" ht="13.5">
      <c r="A121" s="10" t="s">
        <v>30</v>
      </c>
      <c r="B121" s="10">
        <v>597861</v>
      </c>
      <c r="C121" s="10"/>
      <c r="D121" s="10">
        <v>988893</v>
      </c>
      <c r="E121" s="10"/>
      <c r="F121" s="10">
        <v>917854</v>
      </c>
      <c r="G121" s="10"/>
      <c r="H121" s="10">
        <f t="shared" si="8"/>
        <v>668900</v>
      </c>
      <c r="J121" s="25">
        <v>668899.64</v>
      </c>
      <c r="K121" s="25">
        <f t="shared" si="6"/>
        <v>0</v>
      </c>
      <c r="L121" s="32"/>
    </row>
    <row r="122" spans="1:12" ht="13.5">
      <c r="A122" s="10" t="s">
        <v>31</v>
      </c>
      <c r="B122" s="10">
        <v>117240</v>
      </c>
      <c r="C122" s="10"/>
      <c r="D122" s="10">
        <v>47482</v>
      </c>
      <c r="E122" s="10"/>
      <c r="F122" s="10">
        <v>142909</v>
      </c>
      <c r="G122" s="10"/>
      <c r="H122" s="10">
        <f t="shared" si="8"/>
        <v>21813</v>
      </c>
      <c r="J122" s="25">
        <v>21813</v>
      </c>
      <c r="K122" s="25">
        <f t="shared" si="6"/>
        <v>0</v>
      </c>
      <c r="L122" s="32"/>
    </row>
    <row r="123" spans="1:12" ht="13.5">
      <c r="A123" s="10" t="s">
        <v>61</v>
      </c>
      <c r="B123" s="10">
        <v>143911</v>
      </c>
      <c r="C123" s="10"/>
      <c r="D123" s="10">
        <v>-88946</v>
      </c>
      <c r="E123" s="10"/>
      <c r="F123" s="10">
        <v>54965</v>
      </c>
      <c r="G123" s="10"/>
      <c r="H123" s="10">
        <f t="shared" si="8"/>
        <v>0</v>
      </c>
      <c r="J123" s="25">
        <v>0</v>
      </c>
      <c r="K123" s="25">
        <f t="shared" si="6"/>
        <v>0</v>
      </c>
      <c r="L123" s="32"/>
    </row>
    <row r="124" spans="1:12" ht="13.5">
      <c r="A124" s="10" t="s">
        <v>112</v>
      </c>
      <c r="B124" s="10">
        <v>813589</v>
      </c>
      <c r="C124" s="10"/>
      <c r="D124" s="10">
        <v>2945</v>
      </c>
      <c r="E124" s="10"/>
      <c r="F124" s="10">
        <f>514025+1</f>
        <v>514026</v>
      </c>
      <c r="G124" s="10"/>
      <c r="H124" s="10">
        <f t="shared" si="8"/>
        <v>302508</v>
      </c>
      <c r="J124" s="29">
        <v>302508.21</v>
      </c>
      <c r="K124" s="29">
        <f t="shared" si="6"/>
        <v>0</v>
      </c>
      <c r="L124" s="32"/>
    </row>
    <row r="125" spans="1:12" ht="13.5">
      <c r="A125" s="10" t="s">
        <v>214</v>
      </c>
      <c r="B125" s="10">
        <v>0</v>
      </c>
      <c r="C125" s="10"/>
      <c r="D125" s="10">
        <v>50000</v>
      </c>
      <c r="E125" s="10"/>
      <c r="F125" s="10">
        <v>0</v>
      </c>
      <c r="G125" s="10"/>
      <c r="H125" s="10">
        <f t="shared" si="8"/>
        <v>50000</v>
      </c>
      <c r="J125" s="25">
        <v>50000</v>
      </c>
      <c r="K125" s="25">
        <f t="shared" si="6"/>
        <v>0</v>
      </c>
      <c r="L125" s="32"/>
    </row>
    <row r="126" spans="1:12" ht="13.5">
      <c r="A126" s="10" t="s">
        <v>32</v>
      </c>
      <c r="B126" s="10">
        <v>175000</v>
      </c>
      <c r="C126" s="10"/>
      <c r="D126" s="10">
        <v>0</v>
      </c>
      <c r="E126" s="10"/>
      <c r="F126" s="10">
        <v>599</v>
      </c>
      <c r="G126" s="10"/>
      <c r="H126" s="10">
        <f aca="true" t="shared" si="9" ref="H126:H137">+B126+D126-F126</f>
        <v>174401</v>
      </c>
      <c r="J126" s="25">
        <v>174401</v>
      </c>
      <c r="K126" s="25">
        <f t="shared" si="6"/>
        <v>0</v>
      </c>
      <c r="L126" s="32"/>
    </row>
    <row r="127" spans="1:12" ht="13.5">
      <c r="A127" s="10" t="s">
        <v>33</v>
      </c>
      <c r="B127" s="10">
        <v>246539</v>
      </c>
      <c r="C127" s="10"/>
      <c r="D127" s="10">
        <v>388090</v>
      </c>
      <c r="E127" s="10"/>
      <c r="F127" s="10">
        <v>204570</v>
      </c>
      <c r="G127" s="10"/>
      <c r="H127" s="10">
        <f t="shared" si="9"/>
        <v>430059</v>
      </c>
      <c r="J127" s="25">
        <v>430058.92</v>
      </c>
      <c r="K127" s="25">
        <f t="shared" si="6"/>
        <v>0</v>
      </c>
      <c r="L127" s="32"/>
    </row>
    <row r="128" spans="1:12" ht="13.5">
      <c r="A128" s="10" t="s">
        <v>149</v>
      </c>
      <c r="B128" s="10">
        <v>2603</v>
      </c>
      <c r="C128" s="10"/>
      <c r="D128" s="10">
        <v>-2603</v>
      </c>
      <c r="E128" s="10"/>
      <c r="F128" s="10">
        <v>0</v>
      </c>
      <c r="G128" s="10"/>
      <c r="H128" s="10">
        <f t="shared" si="9"/>
        <v>0</v>
      </c>
      <c r="J128" s="25">
        <v>0</v>
      </c>
      <c r="K128" s="25">
        <f t="shared" si="6"/>
        <v>0</v>
      </c>
      <c r="L128" s="32"/>
    </row>
    <row r="129" spans="1:12" ht="13.5">
      <c r="A129" s="10" t="s">
        <v>121</v>
      </c>
      <c r="B129" s="10">
        <v>901386</v>
      </c>
      <c r="C129" s="10"/>
      <c r="D129" s="10">
        <v>0</v>
      </c>
      <c r="E129" s="10"/>
      <c r="F129" s="10">
        <v>25567</v>
      </c>
      <c r="G129" s="10"/>
      <c r="H129" s="10">
        <f t="shared" si="9"/>
        <v>875819</v>
      </c>
      <c r="J129" s="25">
        <v>875819.26</v>
      </c>
      <c r="K129" s="25">
        <f t="shared" si="6"/>
        <v>0</v>
      </c>
      <c r="L129" s="32"/>
    </row>
    <row r="130" spans="1:12" ht="13.5">
      <c r="A130" s="10" t="s">
        <v>78</v>
      </c>
      <c r="B130" s="10">
        <v>829721</v>
      </c>
      <c r="C130" s="10"/>
      <c r="D130" s="10">
        <v>2704</v>
      </c>
      <c r="E130" s="10"/>
      <c r="F130" s="10">
        <v>394100</v>
      </c>
      <c r="G130" s="10"/>
      <c r="H130" s="10">
        <f t="shared" si="9"/>
        <v>438325</v>
      </c>
      <c r="J130" s="25">
        <v>438325.4</v>
      </c>
      <c r="K130" s="25">
        <f t="shared" si="6"/>
        <v>0</v>
      </c>
      <c r="L130" s="32"/>
    </row>
    <row r="131" spans="1:12" ht="13.5">
      <c r="A131" s="10" t="s">
        <v>120</v>
      </c>
      <c r="B131" s="10">
        <v>46136</v>
      </c>
      <c r="C131" s="10"/>
      <c r="D131" s="10">
        <v>0</v>
      </c>
      <c r="E131" s="10"/>
      <c r="F131" s="10">
        <v>16200</v>
      </c>
      <c r="G131" s="10"/>
      <c r="H131" s="10">
        <f t="shared" si="9"/>
        <v>29936</v>
      </c>
      <c r="J131" s="29">
        <v>29935.44</v>
      </c>
      <c r="K131" s="29">
        <f t="shared" si="6"/>
        <v>-1</v>
      </c>
      <c r="L131" s="32"/>
    </row>
    <row r="132" spans="1:12" ht="13.5">
      <c r="A132" s="10" t="s">
        <v>47</v>
      </c>
      <c r="B132" s="10">
        <v>179644</v>
      </c>
      <c r="C132" s="10"/>
      <c r="D132" s="10">
        <v>-145000</v>
      </c>
      <c r="E132" s="10"/>
      <c r="F132" s="10">
        <v>3333</v>
      </c>
      <c r="G132" s="10"/>
      <c r="H132" s="10">
        <f t="shared" si="9"/>
        <v>31311</v>
      </c>
      <c r="J132" s="25">
        <v>31311.11</v>
      </c>
      <c r="K132" s="25">
        <f t="shared" si="6"/>
        <v>0</v>
      </c>
      <c r="L132" s="32"/>
    </row>
    <row r="133" spans="1:12" ht="13.5">
      <c r="A133" s="10" t="s">
        <v>70</v>
      </c>
      <c r="B133" s="10">
        <v>2650340</v>
      </c>
      <c r="C133" s="10"/>
      <c r="D133" s="10">
        <v>394141</v>
      </c>
      <c r="E133" s="10"/>
      <c r="F133" s="10">
        <v>273866</v>
      </c>
      <c r="G133" s="10"/>
      <c r="H133" s="10">
        <f t="shared" si="9"/>
        <v>2770615</v>
      </c>
      <c r="J133" s="25">
        <f>72710.5+2697904.81</f>
        <v>2770615.31</v>
      </c>
      <c r="K133" s="25">
        <f t="shared" si="6"/>
        <v>0</v>
      </c>
      <c r="L133" s="32"/>
    </row>
    <row r="134" spans="1:12" ht="13.5">
      <c r="A134" s="10" t="s">
        <v>215</v>
      </c>
      <c r="B134" s="10">
        <v>0</v>
      </c>
      <c r="C134" s="10"/>
      <c r="D134" s="10">
        <v>150000</v>
      </c>
      <c r="E134" s="10"/>
      <c r="F134" s="10">
        <v>0</v>
      </c>
      <c r="G134" s="10"/>
      <c r="H134" s="10">
        <f t="shared" si="9"/>
        <v>150000</v>
      </c>
      <c r="J134" s="25">
        <v>150000</v>
      </c>
      <c r="K134" s="25">
        <f t="shared" si="6"/>
        <v>0</v>
      </c>
      <c r="L134" s="32"/>
    </row>
    <row r="135" spans="1:12" ht="13.5">
      <c r="A135" s="10" t="s">
        <v>198</v>
      </c>
      <c r="B135" s="10">
        <v>16000</v>
      </c>
      <c r="C135" s="10"/>
      <c r="D135" s="10">
        <v>0</v>
      </c>
      <c r="E135" s="10"/>
      <c r="F135" s="10">
        <v>14500</v>
      </c>
      <c r="G135" s="10"/>
      <c r="H135" s="10">
        <f t="shared" si="9"/>
        <v>1500</v>
      </c>
      <c r="J135" s="25">
        <v>1500</v>
      </c>
      <c r="K135" s="25">
        <f t="shared" si="6"/>
        <v>0</v>
      </c>
      <c r="L135" s="32"/>
    </row>
    <row r="136" spans="1:12" ht="13.5">
      <c r="A136" s="10" t="s">
        <v>129</v>
      </c>
      <c r="B136" s="10">
        <v>15000</v>
      </c>
      <c r="C136" s="10"/>
      <c r="D136" s="10">
        <v>9999</v>
      </c>
      <c r="E136" s="10"/>
      <c r="F136" s="10">
        <v>24999</v>
      </c>
      <c r="G136" s="10"/>
      <c r="H136" s="10">
        <f t="shared" si="9"/>
        <v>0</v>
      </c>
      <c r="J136" s="25">
        <v>0</v>
      </c>
      <c r="K136" s="25">
        <f t="shared" si="6"/>
        <v>0</v>
      </c>
      <c r="L136" s="32"/>
    </row>
    <row r="137" spans="1:12" ht="13.5">
      <c r="A137" s="10" t="s">
        <v>34</v>
      </c>
      <c r="B137" s="10">
        <v>1690471</v>
      </c>
      <c r="C137" s="10"/>
      <c r="D137" s="10">
        <v>500000</v>
      </c>
      <c r="E137" s="10"/>
      <c r="F137" s="10">
        <v>655263</v>
      </c>
      <c r="G137" s="10"/>
      <c r="H137" s="10">
        <f t="shared" si="9"/>
        <v>1535208</v>
      </c>
      <c r="J137" s="25">
        <v>1535208.03</v>
      </c>
      <c r="K137" s="25">
        <f aca="true" t="shared" si="10" ref="K137:K161">ROUND(J137,0)-H137</f>
        <v>0</v>
      </c>
      <c r="L137" s="32"/>
    </row>
    <row r="138" spans="1:12" ht="13.5">
      <c r="A138" s="10" t="s">
        <v>113</v>
      </c>
      <c r="B138" s="10">
        <v>4156457</v>
      </c>
      <c r="C138" s="10"/>
      <c r="D138" s="10">
        <v>25938</v>
      </c>
      <c r="E138" s="10"/>
      <c r="F138" s="10">
        <v>34381</v>
      </c>
      <c r="G138" s="10"/>
      <c r="H138" s="10">
        <f>+B138+D138-F138</f>
        <v>4148014</v>
      </c>
      <c r="J138" s="25">
        <v>4148014.32</v>
      </c>
      <c r="K138" s="25">
        <f t="shared" si="10"/>
        <v>0</v>
      </c>
      <c r="L138" s="32"/>
    </row>
    <row r="139" spans="1:12" ht="13.5">
      <c r="A139" s="10" t="s">
        <v>150</v>
      </c>
      <c r="B139" s="10">
        <v>33270</v>
      </c>
      <c r="C139" s="10"/>
      <c r="D139" s="10">
        <v>-33270</v>
      </c>
      <c r="E139" s="10"/>
      <c r="F139" s="10">
        <v>0</v>
      </c>
      <c r="G139" s="10"/>
      <c r="H139" s="10">
        <f>+B139+D139-F139</f>
        <v>0</v>
      </c>
      <c r="J139" s="25">
        <v>0</v>
      </c>
      <c r="K139" s="25">
        <f t="shared" si="10"/>
        <v>0</v>
      </c>
      <c r="L139" s="32"/>
    </row>
    <row r="140" spans="1:8" ht="13.5">
      <c r="A140" s="10" t="s">
        <v>68</v>
      </c>
      <c r="B140" s="10"/>
      <c r="C140" s="10"/>
      <c r="D140" s="10"/>
      <c r="E140" s="10"/>
      <c r="F140" s="10"/>
      <c r="G140" s="10"/>
      <c r="H140" s="10"/>
    </row>
    <row r="141" spans="1:12" ht="13.5">
      <c r="A141" s="10" t="s">
        <v>131</v>
      </c>
      <c r="B141" s="10">
        <v>216334</v>
      </c>
      <c r="C141" s="10"/>
      <c r="D141" s="10">
        <v>0</v>
      </c>
      <c r="E141" s="10"/>
      <c r="F141" s="10">
        <v>0</v>
      </c>
      <c r="G141" s="10"/>
      <c r="H141" s="10">
        <f aca="true" t="shared" si="11" ref="H141:H147">+B141+D141-F141</f>
        <v>216334</v>
      </c>
      <c r="J141" s="25">
        <v>216334.32</v>
      </c>
      <c r="K141" s="25">
        <f t="shared" si="10"/>
        <v>0</v>
      </c>
      <c r="L141" s="32"/>
    </row>
    <row r="142" spans="1:12" ht="13.5">
      <c r="A142" s="10" t="s">
        <v>151</v>
      </c>
      <c r="B142" s="10">
        <v>58225</v>
      </c>
      <c r="C142" s="10"/>
      <c r="D142" s="10">
        <v>0</v>
      </c>
      <c r="E142" s="10"/>
      <c r="F142" s="10">
        <v>5321</v>
      </c>
      <c r="G142" s="10"/>
      <c r="H142" s="10">
        <f t="shared" si="11"/>
        <v>52904</v>
      </c>
      <c r="J142" s="25">
        <v>52903.71</v>
      </c>
      <c r="K142" s="25">
        <f t="shared" si="10"/>
        <v>0</v>
      </c>
      <c r="L142" s="32"/>
    </row>
    <row r="143" spans="1:12" ht="13.5">
      <c r="A143" s="10" t="s">
        <v>132</v>
      </c>
      <c r="B143" s="10">
        <v>5291</v>
      </c>
      <c r="C143" s="10"/>
      <c r="D143" s="10">
        <v>0</v>
      </c>
      <c r="E143" s="10"/>
      <c r="F143" s="10">
        <v>0</v>
      </c>
      <c r="G143" s="10"/>
      <c r="H143" s="10">
        <f t="shared" si="11"/>
        <v>5291</v>
      </c>
      <c r="J143" s="25">
        <v>5291.33</v>
      </c>
      <c r="K143" s="25">
        <f t="shared" si="10"/>
        <v>0</v>
      </c>
      <c r="L143" s="32"/>
    </row>
    <row r="144" spans="1:12" ht="13.5">
      <c r="A144" s="10" t="s">
        <v>87</v>
      </c>
      <c r="B144" s="10">
        <v>194559</v>
      </c>
      <c r="C144" s="10"/>
      <c r="D144" s="10">
        <v>-194559</v>
      </c>
      <c r="E144" s="10"/>
      <c r="F144" s="10">
        <v>0</v>
      </c>
      <c r="G144" s="10"/>
      <c r="H144" s="10">
        <f t="shared" si="11"/>
        <v>0</v>
      </c>
      <c r="J144" s="25">
        <v>0</v>
      </c>
      <c r="K144" s="25">
        <f t="shared" si="10"/>
        <v>0</v>
      </c>
      <c r="L144" s="32"/>
    </row>
    <row r="145" spans="1:12" ht="13.5">
      <c r="A145" s="10" t="s">
        <v>36</v>
      </c>
      <c r="B145" s="10">
        <v>2421239</v>
      </c>
      <c r="C145" s="10"/>
      <c r="D145" s="10">
        <v>275765</v>
      </c>
      <c r="E145" s="10"/>
      <c r="F145" s="10">
        <v>98747</v>
      </c>
      <c r="G145" s="10"/>
      <c r="H145" s="10">
        <f t="shared" si="11"/>
        <v>2598257</v>
      </c>
      <c r="J145" s="25">
        <v>2598256.82</v>
      </c>
      <c r="K145" s="25">
        <f t="shared" si="10"/>
        <v>0</v>
      </c>
      <c r="L145" s="32"/>
    </row>
    <row r="146" spans="1:12" ht="13.5">
      <c r="A146" s="10" t="s">
        <v>46</v>
      </c>
      <c r="B146" s="10">
        <v>81607</v>
      </c>
      <c r="C146" s="10"/>
      <c r="D146" s="10">
        <v>0</v>
      </c>
      <c r="E146" s="10"/>
      <c r="F146" s="10">
        <v>0</v>
      </c>
      <c r="G146" s="10"/>
      <c r="H146" s="10">
        <f t="shared" si="11"/>
        <v>81607</v>
      </c>
      <c r="J146" s="25">
        <v>81606.81</v>
      </c>
      <c r="K146" s="25">
        <f t="shared" si="10"/>
        <v>0</v>
      </c>
      <c r="L146" s="32"/>
    </row>
    <row r="147" spans="1:12" ht="13.5">
      <c r="A147" s="10" t="s">
        <v>114</v>
      </c>
      <c r="B147" s="10">
        <v>81206</v>
      </c>
      <c r="C147" s="10"/>
      <c r="D147" s="10">
        <v>-81206</v>
      </c>
      <c r="E147" s="10"/>
      <c r="F147" s="10">
        <v>0</v>
      </c>
      <c r="G147" s="10"/>
      <c r="H147" s="10">
        <f t="shared" si="11"/>
        <v>0</v>
      </c>
      <c r="J147" s="25">
        <v>0</v>
      </c>
      <c r="K147" s="25">
        <f t="shared" si="10"/>
        <v>0</v>
      </c>
      <c r="L147" s="32"/>
    </row>
    <row r="148" spans="1:8" ht="13.5">
      <c r="A148" s="10" t="s">
        <v>84</v>
      </c>
      <c r="B148" s="10"/>
      <c r="C148" s="10"/>
      <c r="D148" s="10"/>
      <c r="E148" s="10"/>
      <c r="F148" s="10"/>
      <c r="G148" s="10"/>
      <c r="H148" s="10"/>
    </row>
    <row r="149" spans="1:12" ht="13.5">
      <c r="A149" s="10" t="s">
        <v>130</v>
      </c>
      <c r="B149" s="10">
        <v>2537</v>
      </c>
      <c r="C149" s="10"/>
      <c r="D149" s="10">
        <v>0</v>
      </c>
      <c r="E149" s="10"/>
      <c r="F149" s="10">
        <v>0</v>
      </c>
      <c r="G149" s="10"/>
      <c r="H149" s="10">
        <f aca="true" t="shared" si="12" ref="H149:H156">+B149+D149-F149</f>
        <v>2537</v>
      </c>
      <c r="J149" s="25">
        <v>2537.18</v>
      </c>
      <c r="K149" s="25">
        <f t="shared" si="10"/>
        <v>0</v>
      </c>
      <c r="L149" s="32"/>
    </row>
    <row r="150" spans="1:12" ht="13.5">
      <c r="A150" s="10" t="s">
        <v>106</v>
      </c>
      <c r="B150" s="10">
        <v>101030</v>
      </c>
      <c r="C150" s="10"/>
      <c r="D150" s="10">
        <v>0</v>
      </c>
      <c r="E150" s="10"/>
      <c r="F150" s="10">
        <v>0</v>
      </c>
      <c r="G150" s="10"/>
      <c r="H150" s="10">
        <f t="shared" si="12"/>
        <v>101030</v>
      </c>
      <c r="J150" s="29">
        <v>101029.46</v>
      </c>
      <c r="K150" s="29">
        <f t="shared" si="10"/>
        <v>-1</v>
      </c>
      <c r="L150" s="32"/>
    </row>
    <row r="151" spans="1:12" ht="13.5">
      <c r="A151" s="10" t="s">
        <v>27</v>
      </c>
      <c r="B151" s="10">
        <v>364646</v>
      </c>
      <c r="C151" s="10"/>
      <c r="D151" s="10">
        <v>0</v>
      </c>
      <c r="E151" s="10"/>
      <c r="F151" s="10">
        <v>0</v>
      </c>
      <c r="G151" s="10"/>
      <c r="H151" s="10">
        <f t="shared" si="12"/>
        <v>364646</v>
      </c>
      <c r="J151" s="25">
        <v>364646.31</v>
      </c>
      <c r="K151" s="25">
        <f t="shared" si="10"/>
        <v>0</v>
      </c>
      <c r="L151" s="32"/>
    </row>
    <row r="152" spans="1:12" ht="13.5">
      <c r="A152" s="10" t="s">
        <v>216</v>
      </c>
      <c r="B152" s="10">
        <v>0</v>
      </c>
      <c r="C152" s="10"/>
      <c r="D152" s="10">
        <v>50000</v>
      </c>
      <c r="E152" s="10"/>
      <c r="F152" s="10">
        <v>49789</v>
      </c>
      <c r="G152" s="10"/>
      <c r="H152" s="10">
        <f t="shared" si="12"/>
        <v>211</v>
      </c>
      <c r="J152" s="25">
        <v>210.85</v>
      </c>
      <c r="K152" s="25">
        <f t="shared" si="10"/>
        <v>0</v>
      </c>
      <c r="L152" s="32"/>
    </row>
    <row r="153" spans="1:12" ht="13.5">
      <c r="A153" s="10" t="s">
        <v>88</v>
      </c>
      <c r="B153" s="10">
        <v>320042</v>
      </c>
      <c r="C153" s="10"/>
      <c r="D153" s="10">
        <v>0</v>
      </c>
      <c r="E153" s="10"/>
      <c r="F153" s="10">
        <v>0</v>
      </c>
      <c r="G153" s="10"/>
      <c r="H153" s="10">
        <f t="shared" si="12"/>
        <v>320042</v>
      </c>
      <c r="J153" s="25">
        <v>320041.8</v>
      </c>
      <c r="K153" s="25">
        <f t="shared" si="10"/>
        <v>0</v>
      </c>
      <c r="L153" s="32"/>
    </row>
    <row r="154" spans="1:12" ht="13.5">
      <c r="A154" s="10" t="s">
        <v>86</v>
      </c>
      <c r="B154" s="10">
        <v>310205</v>
      </c>
      <c r="C154" s="10"/>
      <c r="D154" s="10">
        <v>0</v>
      </c>
      <c r="E154" s="10"/>
      <c r="F154" s="10">
        <f>1+47481</f>
        <v>47482</v>
      </c>
      <c r="G154" s="10"/>
      <c r="H154" s="10">
        <f t="shared" si="12"/>
        <v>262723</v>
      </c>
      <c r="J154" s="29">
        <v>262723.35</v>
      </c>
      <c r="K154" s="29">
        <f t="shared" si="10"/>
        <v>0</v>
      </c>
      <c r="L154" s="32"/>
    </row>
    <row r="155" spans="1:12" ht="13.5">
      <c r="A155" s="10" t="s">
        <v>115</v>
      </c>
      <c r="B155" s="10">
        <v>342475</v>
      </c>
      <c r="C155" s="10"/>
      <c r="D155" s="10">
        <v>0</v>
      </c>
      <c r="E155" s="10"/>
      <c r="F155" s="10">
        <v>0</v>
      </c>
      <c r="G155" s="10"/>
      <c r="H155" s="10">
        <f t="shared" si="12"/>
        <v>342475</v>
      </c>
      <c r="J155" s="25">
        <v>342475</v>
      </c>
      <c r="K155" s="25">
        <f t="shared" si="10"/>
        <v>0</v>
      </c>
      <c r="L155" s="32"/>
    </row>
    <row r="156" spans="1:12" ht="13.5">
      <c r="A156" s="10" t="s">
        <v>89</v>
      </c>
      <c r="B156" s="10">
        <v>43366</v>
      </c>
      <c r="C156" s="10"/>
      <c r="D156" s="10">
        <v>0</v>
      </c>
      <c r="E156" s="10"/>
      <c r="F156" s="10">
        <v>0</v>
      </c>
      <c r="G156" s="10"/>
      <c r="H156" s="10">
        <f t="shared" si="12"/>
        <v>43366</v>
      </c>
      <c r="J156" s="25">
        <v>43365.69</v>
      </c>
      <c r="K156" s="25">
        <f t="shared" si="10"/>
        <v>0</v>
      </c>
      <c r="L156" s="32"/>
    </row>
    <row r="157" spans="1:8" ht="13.5">
      <c r="A157" s="10" t="s">
        <v>37</v>
      </c>
      <c r="B157" s="10"/>
      <c r="C157" s="10"/>
      <c r="D157" s="10"/>
      <c r="E157" s="10"/>
      <c r="F157" s="10"/>
      <c r="G157" s="10"/>
      <c r="H157" s="10"/>
    </row>
    <row r="158" spans="1:12" ht="13.5">
      <c r="A158" s="10" t="s">
        <v>35</v>
      </c>
      <c r="B158" s="10">
        <v>180859</v>
      </c>
      <c r="C158" s="10"/>
      <c r="D158" s="10">
        <v>275000</v>
      </c>
      <c r="E158" s="10"/>
      <c r="F158" s="10">
        <v>0</v>
      </c>
      <c r="G158" s="10"/>
      <c r="H158" s="10">
        <f>+B158+D158-F158</f>
        <v>455859</v>
      </c>
      <c r="J158" s="25">
        <v>455859.21</v>
      </c>
      <c r="K158" s="25">
        <f t="shared" si="10"/>
        <v>0</v>
      </c>
      <c r="L158" s="32"/>
    </row>
    <row r="159" spans="1:12" ht="13.5">
      <c r="A159" s="10" t="s">
        <v>14</v>
      </c>
      <c r="B159" s="10">
        <v>1663167</v>
      </c>
      <c r="C159" s="10"/>
      <c r="D159" s="10">
        <v>310000</v>
      </c>
      <c r="E159" s="10"/>
      <c r="F159" s="10">
        <v>66153</v>
      </c>
      <c r="G159" s="10"/>
      <c r="H159" s="10">
        <f>+B159+D159-F159</f>
        <v>1907014</v>
      </c>
      <c r="J159" s="25">
        <v>1907014.02</v>
      </c>
      <c r="K159" s="25">
        <f t="shared" si="10"/>
        <v>0</v>
      </c>
      <c r="L159" s="32"/>
    </row>
    <row r="160" spans="1:12" ht="13.5">
      <c r="A160" s="10" t="s">
        <v>38</v>
      </c>
      <c r="B160" s="10">
        <v>85123</v>
      </c>
      <c r="C160" s="10"/>
      <c r="D160" s="10">
        <v>0</v>
      </c>
      <c r="E160" s="10"/>
      <c r="F160" s="10">
        <f>54+1</f>
        <v>55</v>
      </c>
      <c r="G160" s="10"/>
      <c r="H160" s="10">
        <f>+B160+D160-F160</f>
        <v>85068</v>
      </c>
      <c r="J160" s="29">
        <v>85068.47</v>
      </c>
      <c r="K160" s="29">
        <f t="shared" si="10"/>
        <v>0</v>
      </c>
      <c r="L160" s="32"/>
    </row>
    <row r="161" spans="1:12" ht="13.5">
      <c r="A161" s="10" t="s">
        <v>133</v>
      </c>
      <c r="B161" s="10">
        <v>21625</v>
      </c>
      <c r="C161" s="10"/>
      <c r="D161" s="10">
        <v>0</v>
      </c>
      <c r="E161" s="10"/>
      <c r="F161" s="10">
        <v>0</v>
      </c>
      <c r="G161" s="10"/>
      <c r="H161" s="10">
        <f>+B161+D161-F161</f>
        <v>21625</v>
      </c>
      <c r="J161" s="25">
        <v>21624.9</v>
      </c>
      <c r="K161" s="25">
        <f t="shared" si="10"/>
        <v>0</v>
      </c>
      <c r="L161" s="32"/>
    </row>
    <row r="162" spans="1:15" ht="13.5">
      <c r="A162" s="10" t="s">
        <v>50</v>
      </c>
      <c r="B162" s="17">
        <f>SUM(B73:B161)</f>
        <v>86073863</v>
      </c>
      <c r="C162" s="10"/>
      <c r="D162" s="17">
        <f>SUM(D73:D161)</f>
        <v>20338716</v>
      </c>
      <c r="E162" s="10"/>
      <c r="F162" s="17">
        <f>SUM(F73:F161)</f>
        <v>17599922</v>
      </c>
      <c r="G162" s="10"/>
      <c r="H162" s="17">
        <f>SUM(H73:H161)</f>
        <v>88812657</v>
      </c>
      <c r="J162" s="25">
        <f>SUM(J73:J161)</f>
        <v>88812657.08999994</v>
      </c>
      <c r="K162" s="25">
        <f>ROUND(J162,0)-H162</f>
        <v>0</v>
      </c>
      <c r="O162" s="2">
        <f>17197701-17108993</f>
        <v>88708</v>
      </c>
    </row>
    <row r="163" spans="1:15" ht="13.5">
      <c r="A163" s="10" t="s">
        <v>51</v>
      </c>
      <c r="B163" s="19">
        <f>+B70+B162</f>
        <v>97475517</v>
      </c>
      <c r="C163" s="10"/>
      <c r="D163" s="19">
        <f>+D70+D162</f>
        <v>24598653</v>
      </c>
      <c r="E163" s="10"/>
      <c r="F163" s="19">
        <f>+F70+F162</f>
        <v>17639617</v>
      </c>
      <c r="G163" s="10"/>
      <c r="H163" s="20">
        <f>+B163+D163-F163</f>
        <v>104434553</v>
      </c>
      <c r="J163" s="25">
        <f>J162+J70</f>
        <v>104434553.89999995</v>
      </c>
      <c r="K163" s="25">
        <f>ROUND(J163,0)-H163</f>
        <v>1</v>
      </c>
      <c r="O163" s="2">
        <f>86061420-85972711.49</f>
        <v>88708.51000000536</v>
      </c>
    </row>
    <row r="164" spans="1:8" ht="13.5">
      <c r="A164" s="10"/>
      <c r="B164" s="10"/>
      <c r="C164" s="10"/>
      <c r="D164" s="10"/>
      <c r="E164" s="10"/>
      <c r="F164" s="10"/>
      <c r="G164" s="10"/>
      <c r="H164" s="10"/>
    </row>
    <row r="165" spans="1:8" ht="13.5">
      <c r="A165" s="10" t="s">
        <v>40</v>
      </c>
      <c r="B165" s="10"/>
      <c r="C165" s="14"/>
      <c r="D165" s="10"/>
      <c r="E165" s="10"/>
      <c r="F165" s="10"/>
      <c r="G165" s="10"/>
      <c r="H165" s="10"/>
    </row>
    <row r="166" spans="1:12" ht="13.5">
      <c r="A166" s="10" t="s">
        <v>41</v>
      </c>
      <c r="B166" s="10">
        <v>125036</v>
      </c>
      <c r="C166" s="14"/>
      <c r="D166" s="10">
        <v>0</v>
      </c>
      <c r="E166" s="10"/>
      <c r="F166" s="10">
        <v>0</v>
      </c>
      <c r="G166" s="10"/>
      <c r="H166" s="10">
        <f>+B166+D166-F166</f>
        <v>125036</v>
      </c>
      <c r="J166" s="25">
        <v>125035.99</v>
      </c>
      <c r="K166" s="25">
        <f aca="true" t="shared" si="13" ref="K166:K188">ROUND(J166,0)-H166</f>
        <v>0</v>
      </c>
      <c r="L166" s="31"/>
    </row>
    <row r="167" spans="1:12" ht="13.5">
      <c r="A167" s="10" t="s">
        <v>141</v>
      </c>
      <c r="B167" s="10">
        <v>74961</v>
      </c>
      <c r="C167" s="14"/>
      <c r="D167" s="10">
        <v>0</v>
      </c>
      <c r="E167" s="10"/>
      <c r="F167" s="10">
        <v>0</v>
      </c>
      <c r="G167" s="10"/>
      <c r="H167" s="10">
        <f>+B167+D167-F167</f>
        <v>74961</v>
      </c>
      <c r="J167" s="25">
        <v>74960.5</v>
      </c>
      <c r="K167" s="25">
        <f t="shared" si="13"/>
        <v>0</v>
      </c>
      <c r="L167" s="31"/>
    </row>
    <row r="168" spans="1:12" ht="13.5">
      <c r="A168" s="10" t="s">
        <v>73</v>
      </c>
      <c r="B168" s="10">
        <v>1035907</v>
      </c>
      <c r="C168" s="14"/>
      <c r="D168" s="10">
        <v>945642</v>
      </c>
      <c r="E168" s="10"/>
      <c r="F168" s="10">
        <v>0</v>
      </c>
      <c r="G168" s="10"/>
      <c r="H168" s="10">
        <f aca="true" t="shared" si="14" ref="H168:H178">+B168+D168-F168</f>
        <v>1981549</v>
      </c>
      <c r="J168" s="25">
        <v>1981548.73</v>
      </c>
      <c r="K168" s="25">
        <f t="shared" si="13"/>
        <v>0</v>
      </c>
      <c r="L168" s="31"/>
    </row>
    <row r="169" spans="1:12" ht="13.5">
      <c r="A169" s="10" t="s">
        <v>107</v>
      </c>
      <c r="B169" s="10">
        <v>32600</v>
      </c>
      <c r="C169" s="14"/>
      <c r="D169" s="10">
        <v>0</v>
      </c>
      <c r="E169" s="10"/>
      <c r="F169" s="10">
        <v>0</v>
      </c>
      <c r="G169" s="10"/>
      <c r="H169" s="10">
        <f t="shared" si="14"/>
        <v>32600</v>
      </c>
      <c r="J169" s="25">
        <v>32600</v>
      </c>
      <c r="K169" s="25">
        <f t="shared" si="13"/>
        <v>0</v>
      </c>
      <c r="L169" s="31"/>
    </row>
    <row r="170" spans="1:12" ht="13.5">
      <c r="A170" s="10" t="s">
        <v>193</v>
      </c>
      <c r="B170" s="10">
        <v>0</v>
      </c>
      <c r="C170" s="14"/>
      <c r="D170" s="10">
        <v>23100</v>
      </c>
      <c r="E170" s="10"/>
      <c r="F170" s="10">
        <v>23100</v>
      </c>
      <c r="G170" s="10"/>
      <c r="H170" s="10">
        <f t="shared" si="14"/>
        <v>0</v>
      </c>
      <c r="J170" s="25">
        <v>0</v>
      </c>
      <c r="K170" s="25">
        <f t="shared" si="13"/>
        <v>0</v>
      </c>
      <c r="L170" s="31"/>
    </row>
    <row r="171" spans="1:12" ht="13.5">
      <c r="A171" s="10" t="s">
        <v>204</v>
      </c>
      <c r="B171" s="10">
        <v>0</v>
      </c>
      <c r="C171" s="14"/>
      <c r="D171" s="10">
        <v>100000</v>
      </c>
      <c r="E171" s="10"/>
      <c r="F171" s="10">
        <v>43500</v>
      </c>
      <c r="G171" s="10"/>
      <c r="H171" s="10">
        <f t="shared" si="14"/>
        <v>56500</v>
      </c>
      <c r="J171" s="25">
        <v>56500</v>
      </c>
      <c r="K171" s="25">
        <f t="shared" si="13"/>
        <v>0</v>
      </c>
      <c r="L171" s="31"/>
    </row>
    <row r="172" spans="1:12" ht="13.5">
      <c r="A172" s="10" t="s">
        <v>194</v>
      </c>
      <c r="B172" s="10">
        <v>35547</v>
      </c>
      <c r="C172" s="14"/>
      <c r="D172" s="10">
        <v>0</v>
      </c>
      <c r="E172" s="10"/>
      <c r="F172" s="10">
        <v>15000</v>
      </c>
      <c r="G172" s="10"/>
      <c r="H172" s="10">
        <f t="shared" si="14"/>
        <v>20547</v>
      </c>
      <c r="J172" s="25">
        <v>20546.8</v>
      </c>
      <c r="K172" s="25">
        <f t="shared" si="13"/>
        <v>0</v>
      </c>
      <c r="L172" s="31"/>
    </row>
    <row r="173" spans="1:12" ht="13.5">
      <c r="A173" s="10" t="s">
        <v>72</v>
      </c>
      <c r="B173" s="10">
        <v>140000</v>
      </c>
      <c r="C173" s="14"/>
      <c r="D173" s="10">
        <v>0</v>
      </c>
      <c r="E173" s="10"/>
      <c r="F173" s="10">
        <v>0</v>
      </c>
      <c r="G173" s="10"/>
      <c r="H173" s="10">
        <f t="shared" si="14"/>
        <v>140000</v>
      </c>
      <c r="J173" s="25">
        <v>140000</v>
      </c>
      <c r="K173" s="25">
        <f t="shared" si="13"/>
        <v>0</v>
      </c>
      <c r="L173" s="31"/>
    </row>
    <row r="174" spans="1:12" ht="13.5">
      <c r="A174" s="10" t="s">
        <v>142</v>
      </c>
      <c r="B174" s="10">
        <v>3544631</v>
      </c>
      <c r="C174" s="14"/>
      <c r="D174" s="10">
        <v>0</v>
      </c>
      <c r="E174" s="10"/>
      <c r="F174" s="10">
        <v>0</v>
      </c>
      <c r="G174" s="10"/>
      <c r="H174" s="10">
        <f t="shared" si="14"/>
        <v>3544631</v>
      </c>
      <c r="J174" s="25">
        <v>3544630.62</v>
      </c>
      <c r="K174" s="25">
        <f t="shared" si="13"/>
        <v>0</v>
      </c>
      <c r="L174" s="31"/>
    </row>
    <row r="175" spans="1:12" ht="13.5">
      <c r="A175" s="10" t="s">
        <v>83</v>
      </c>
      <c r="B175" s="10">
        <v>19657</v>
      </c>
      <c r="C175" s="14"/>
      <c r="D175" s="10">
        <v>0</v>
      </c>
      <c r="E175" s="10"/>
      <c r="F175" s="10">
        <v>0</v>
      </c>
      <c r="G175" s="10"/>
      <c r="H175" s="10">
        <f t="shared" si="14"/>
        <v>19657</v>
      </c>
      <c r="J175" s="25">
        <v>19657.29</v>
      </c>
      <c r="K175" s="25">
        <f t="shared" si="13"/>
        <v>0</v>
      </c>
      <c r="L175" s="31"/>
    </row>
    <row r="176" spans="1:12" ht="13.5">
      <c r="A176" s="10" t="s">
        <v>42</v>
      </c>
      <c r="B176" s="10">
        <v>324215</v>
      </c>
      <c r="C176" s="14"/>
      <c r="D176" s="10">
        <v>0</v>
      </c>
      <c r="E176" s="10"/>
      <c r="F176" s="10">
        <v>28483</v>
      </c>
      <c r="G176" s="10"/>
      <c r="H176" s="10">
        <f t="shared" si="14"/>
        <v>295732</v>
      </c>
      <c r="J176" s="25">
        <v>295732.53</v>
      </c>
      <c r="K176" s="25">
        <f t="shared" si="13"/>
        <v>1</v>
      </c>
      <c r="L176" s="31"/>
    </row>
    <row r="177" spans="1:12" ht="13.5">
      <c r="A177" s="10" t="s">
        <v>205</v>
      </c>
      <c r="B177" s="10">
        <v>0</v>
      </c>
      <c r="C177" s="14"/>
      <c r="D177" s="10">
        <v>261345</v>
      </c>
      <c r="E177" s="10"/>
      <c r="F177" s="10">
        <v>0</v>
      </c>
      <c r="G177" s="10"/>
      <c r="H177" s="10">
        <f t="shared" si="14"/>
        <v>261345</v>
      </c>
      <c r="J177" s="25">
        <v>261345</v>
      </c>
      <c r="K177" s="25">
        <f t="shared" si="13"/>
        <v>0</v>
      </c>
      <c r="L177" s="31"/>
    </row>
    <row r="178" spans="1:12" ht="13.5">
      <c r="A178" s="10" t="s">
        <v>206</v>
      </c>
      <c r="B178" s="10">
        <v>1471314</v>
      </c>
      <c r="C178" s="14"/>
      <c r="D178" s="10">
        <v>0</v>
      </c>
      <c r="E178" s="10"/>
      <c r="F178" s="10">
        <v>0</v>
      </c>
      <c r="G178" s="10"/>
      <c r="H178" s="10">
        <f t="shared" si="14"/>
        <v>1471314</v>
      </c>
      <c r="J178" s="25">
        <v>1471313.56</v>
      </c>
      <c r="K178" s="25">
        <f t="shared" si="13"/>
        <v>0</v>
      </c>
      <c r="L178" s="31"/>
    </row>
    <row r="179" spans="1:12" ht="13.5">
      <c r="A179" s="10" t="s">
        <v>110</v>
      </c>
      <c r="B179" s="10">
        <v>8931</v>
      </c>
      <c r="C179" s="14"/>
      <c r="D179" s="10">
        <v>119938</v>
      </c>
      <c r="E179" s="10"/>
      <c r="F179" s="10">
        <f>22285+1</f>
        <v>22286</v>
      </c>
      <c r="G179" s="10"/>
      <c r="H179" s="10">
        <f aca="true" t="shared" si="15" ref="H179:H188">+B179+D179-F179</f>
        <v>106583</v>
      </c>
      <c r="J179" s="29">
        <v>106583.25</v>
      </c>
      <c r="K179" s="29">
        <f t="shared" si="13"/>
        <v>0</v>
      </c>
      <c r="L179" s="31"/>
    </row>
    <row r="180" spans="1:12" ht="13.5">
      <c r="A180" s="10" t="s">
        <v>134</v>
      </c>
      <c r="B180" s="10">
        <v>207603</v>
      </c>
      <c r="C180" s="14"/>
      <c r="D180" s="10">
        <v>2458</v>
      </c>
      <c r="E180" s="10"/>
      <c r="F180" s="10">
        <v>190000</v>
      </c>
      <c r="G180" s="10"/>
      <c r="H180" s="10">
        <f t="shared" si="15"/>
        <v>20061</v>
      </c>
      <c r="J180" s="25">
        <v>20060.8</v>
      </c>
      <c r="K180" s="25">
        <f t="shared" si="13"/>
        <v>0</v>
      </c>
      <c r="L180" s="31"/>
    </row>
    <row r="181" spans="1:12" ht="13.5">
      <c r="A181" s="10" t="s">
        <v>136</v>
      </c>
      <c r="B181" s="10">
        <v>79586</v>
      </c>
      <c r="C181" s="10"/>
      <c r="D181" s="10">
        <v>61277</v>
      </c>
      <c r="E181" s="10"/>
      <c r="F181" s="10">
        <v>0</v>
      </c>
      <c r="G181" s="10"/>
      <c r="H181" s="10">
        <f t="shared" si="15"/>
        <v>140863</v>
      </c>
      <c r="J181" s="25">
        <v>140863</v>
      </c>
      <c r="K181" s="25">
        <f t="shared" si="13"/>
        <v>0</v>
      </c>
      <c r="L181" s="31"/>
    </row>
    <row r="182" spans="1:12" ht="13.5">
      <c r="A182" s="10" t="s">
        <v>99</v>
      </c>
      <c r="B182" s="10">
        <v>945</v>
      </c>
      <c r="C182" s="9"/>
      <c r="D182" s="10">
        <v>0</v>
      </c>
      <c r="E182" s="10"/>
      <c r="F182" s="10">
        <v>0</v>
      </c>
      <c r="G182" s="9"/>
      <c r="H182" s="10">
        <f t="shared" si="15"/>
        <v>945</v>
      </c>
      <c r="J182" s="25">
        <v>945.16</v>
      </c>
      <c r="K182" s="25">
        <f t="shared" si="13"/>
        <v>0</v>
      </c>
      <c r="L182" s="31"/>
    </row>
    <row r="183" spans="1:12" ht="13.5">
      <c r="A183" s="10" t="s">
        <v>100</v>
      </c>
      <c r="B183" s="10">
        <v>28798</v>
      </c>
      <c r="C183" s="14"/>
      <c r="D183" s="10">
        <v>0</v>
      </c>
      <c r="E183" s="10"/>
      <c r="F183" s="10">
        <v>0</v>
      </c>
      <c r="G183" s="10"/>
      <c r="H183" s="10">
        <f t="shared" si="15"/>
        <v>28798</v>
      </c>
      <c r="J183" s="25">
        <v>28798</v>
      </c>
      <c r="K183" s="25">
        <f t="shared" si="13"/>
        <v>0</v>
      </c>
      <c r="L183" s="31"/>
    </row>
    <row r="184" spans="1:12" ht="13.5">
      <c r="A184" s="10" t="s">
        <v>74</v>
      </c>
      <c r="B184" s="10">
        <v>34818</v>
      </c>
      <c r="C184" s="14"/>
      <c r="D184" s="10">
        <v>0</v>
      </c>
      <c r="E184" s="10"/>
      <c r="F184" s="10">
        <f>16482-1</f>
        <v>16481</v>
      </c>
      <c r="G184" s="10"/>
      <c r="H184" s="10">
        <f t="shared" si="15"/>
        <v>18337</v>
      </c>
      <c r="J184" s="29">
        <v>18336.67</v>
      </c>
      <c r="K184" s="29">
        <f t="shared" si="13"/>
        <v>0</v>
      </c>
      <c r="L184" s="31"/>
    </row>
    <row r="185" spans="1:12" ht="13.5">
      <c r="A185" s="10" t="s">
        <v>71</v>
      </c>
      <c r="B185" s="10">
        <v>13796</v>
      </c>
      <c r="C185" s="14"/>
      <c r="D185" s="10">
        <v>0</v>
      </c>
      <c r="E185" s="10"/>
      <c r="F185" s="10">
        <v>0</v>
      </c>
      <c r="G185" s="10"/>
      <c r="H185" s="10">
        <f t="shared" si="15"/>
        <v>13796</v>
      </c>
      <c r="J185" s="25">
        <v>13796</v>
      </c>
      <c r="K185" s="25">
        <f t="shared" si="13"/>
        <v>0</v>
      </c>
      <c r="L185" s="31"/>
    </row>
    <row r="186" spans="1:12" ht="13.5">
      <c r="A186" s="10" t="s">
        <v>111</v>
      </c>
      <c r="B186" s="10">
        <v>42664</v>
      </c>
      <c r="C186" s="14"/>
      <c r="D186" s="10">
        <v>0</v>
      </c>
      <c r="E186" s="10"/>
      <c r="F186" s="10">
        <v>16958</v>
      </c>
      <c r="G186" s="10"/>
      <c r="H186" s="10">
        <f t="shared" si="15"/>
        <v>25706</v>
      </c>
      <c r="J186" s="25">
        <v>25706.39</v>
      </c>
      <c r="K186" s="25">
        <f t="shared" si="13"/>
        <v>0</v>
      </c>
      <c r="L186" s="31"/>
    </row>
    <row r="187" spans="1:12" ht="13.5">
      <c r="A187" s="10" t="s">
        <v>75</v>
      </c>
      <c r="B187" s="10">
        <v>3467</v>
      </c>
      <c r="C187" s="14"/>
      <c r="D187" s="10">
        <v>0</v>
      </c>
      <c r="E187" s="10"/>
      <c r="F187" s="10">
        <v>0</v>
      </c>
      <c r="G187" s="10"/>
      <c r="H187" s="10">
        <f t="shared" si="15"/>
        <v>3467</v>
      </c>
      <c r="J187" s="25">
        <v>3467.02</v>
      </c>
      <c r="K187" s="25">
        <f t="shared" si="13"/>
        <v>0</v>
      </c>
      <c r="L187" s="31"/>
    </row>
    <row r="188" spans="1:12" ht="13.5">
      <c r="A188" s="10" t="s">
        <v>137</v>
      </c>
      <c r="B188" s="10">
        <v>105875</v>
      </c>
      <c r="C188" s="10"/>
      <c r="D188" s="10">
        <v>93508</v>
      </c>
      <c r="E188" s="10"/>
      <c r="F188" s="10">
        <v>0</v>
      </c>
      <c r="G188" s="10"/>
      <c r="H188" s="10">
        <f t="shared" si="15"/>
        <v>199383</v>
      </c>
      <c r="J188" s="25">
        <v>199383</v>
      </c>
      <c r="K188" s="25">
        <f t="shared" si="13"/>
        <v>0</v>
      </c>
      <c r="L188" s="31"/>
    </row>
    <row r="189" spans="1:11" ht="13.5">
      <c r="A189" s="10" t="s">
        <v>45</v>
      </c>
      <c r="B189" s="17">
        <f>SUM(B166:B188)</f>
        <v>7330351</v>
      </c>
      <c r="C189" s="10"/>
      <c r="D189" s="17">
        <f>SUM(D166:D188)</f>
        <v>1607268</v>
      </c>
      <c r="E189" s="10"/>
      <c r="F189" s="17">
        <f>SUM(F166:F188)</f>
        <v>355808</v>
      </c>
      <c r="G189" s="10"/>
      <c r="H189" s="17">
        <f>SUM(H166:H188)</f>
        <v>8581811</v>
      </c>
      <c r="J189" s="25">
        <f>SUM(J166:J188)</f>
        <v>8581810.309999999</v>
      </c>
      <c r="K189" s="25">
        <f>ROUND(J189,0)-H189</f>
        <v>-1</v>
      </c>
    </row>
    <row r="190" spans="1:8" ht="13.5">
      <c r="A190" s="10"/>
      <c r="B190" s="12"/>
      <c r="C190" s="10"/>
      <c r="D190" s="12"/>
      <c r="E190" s="10"/>
      <c r="F190" s="12"/>
      <c r="G190" s="10"/>
      <c r="H190" s="26"/>
    </row>
    <row r="191" spans="1:8" ht="13.5">
      <c r="A191" s="10" t="s">
        <v>155</v>
      </c>
      <c r="B191" s="10"/>
      <c r="C191" s="14"/>
      <c r="D191" s="10"/>
      <c r="E191" s="10"/>
      <c r="F191" s="10"/>
      <c r="G191" s="10"/>
      <c r="H191" s="10"/>
    </row>
    <row r="192" spans="1:12" ht="13.5">
      <c r="A192" s="10" t="s">
        <v>156</v>
      </c>
      <c r="B192" s="10">
        <v>1503832</v>
      </c>
      <c r="C192" s="14"/>
      <c r="D192" s="10">
        <v>29926</v>
      </c>
      <c r="E192" s="10"/>
      <c r="F192" s="10">
        <v>0</v>
      </c>
      <c r="G192" s="10"/>
      <c r="H192" s="10">
        <f aca="true" t="shared" si="16" ref="H192:H217">+B192+D192-F192</f>
        <v>1533758</v>
      </c>
      <c r="J192" s="25">
        <v>1533758</v>
      </c>
      <c r="K192" s="25">
        <f aca="true" t="shared" si="17" ref="K192:K218">ROUND(J192,0)-H192</f>
        <v>0</v>
      </c>
      <c r="L192" s="32"/>
    </row>
    <row r="193" spans="1:12" ht="13.5">
      <c r="A193" s="10" t="s">
        <v>190</v>
      </c>
      <c r="B193" s="10">
        <v>727715</v>
      </c>
      <c r="C193" s="14"/>
      <c r="D193" s="10">
        <v>14482</v>
      </c>
      <c r="E193" s="10"/>
      <c r="F193" s="10">
        <v>0</v>
      </c>
      <c r="G193" s="10"/>
      <c r="H193" s="10">
        <f t="shared" si="16"/>
        <v>742197</v>
      </c>
      <c r="J193" s="25">
        <f>27497+714700</f>
        <v>742197</v>
      </c>
      <c r="K193" s="25">
        <f t="shared" si="17"/>
        <v>0</v>
      </c>
      <c r="L193" s="32"/>
    </row>
    <row r="194" spans="1:12" ht="13.5">
      <c r="A194" s="10" t="s">
        <v>157</v>
      </c>
      <c r="B194" s="10">
        <v>1693151</v>
      </c>
      <c r="C194" s="14"/>
      <c r="D194" s="10">
        <v>33694</v>
      </c>
      <c r="E194" s="10"/>
      <c r="F194" s="10">
        <v>0</v>
      </c>
      <c r="G194" s="10"/>
      <c r="H194" s="10">
        <f t="shared" si="16"/>
        <v>1726845</v>
      </c>
      <c r="J194" s="25">
        <v>1726845</v>
      </c>
      <c r="K194" s="25">
        <f t="shared" si="17"/>
        <v>0</v>
      </c>
      <c r="L194" s="32"/>
    </row>
    <row r="195" spans="1:12" ht="13.5">
      <c r="A195" s="10" t="s">
        <v>158</v>
      </c>
      <c r="B195" s="10">
        <v>465958</v>
      </c>
      <c r="C195" s="14"/>
      <c r="D195" s="10">
        <v>9273</v>
      </c>
      <c r="E195" s="10"/>
      <c r="F195" s="10">
        <v>0</v>
      </c>
      <c r="G195" s="10"/>
      <c r="H195" s="10">
        <f t="shared" si="16"/>
        <v>475231</v>
      </c>
      <c r="J195" s="25">
        <v>475231</v>
      </c>
      <c r="K195" s="25">
        <f t="shared" si="17"/>
        <v>0</v>
      </c>
      <c r="L195" s="32"/>
    </row>
    <row r="196" spans="1:12" ht="13.5">
      <c r="A196" s="10" t="s">
        <v>159</v>
      </c>
      <c r="B196" s="10">
        <v>1024821</v>
      </c>
      <c r="C196" s="14"/>
      <c r="D196" s="10">
        <v>20393</v>
      </c>
      <c r="E196" s="10"/>
      <c r="F196" s="10">
        <v>0</v>
      </c>
      <c r="G196" s="10"/>
      <c r="H196" s="10">
        <f t="shared" si="16"/>
        <v>1045214</v>
      </c>
      <c r="J196" s="25">
        <v>1045213.72</v>
      </c>
      <c r="K196" s="25">
        <f t="shared" si="17"/>
        <v>0</v>
      </c>
      <c r="L196" s="32"/>
    </row>
    <row r="197" spans="1:12" ht="13.5">
      <c r="A197" s="10" t="s">
        <v>107</v>
      </c>
      <c r="B197" s="10">
        <v>376376</v>
      </c>
      <c r="C197" s="14"/>
      <c r="D197" s="10">
        <v>7490</v>
      </c>
      <c r="E197" s="10"/>
      <c r="F197" s="10">
        <v>0</v>
      </c>
      <c r="G197" s="10"/>
      <c r="H197" s="10">
        <f t="shared" si="16"/>
        <v>383866</v>
      </c>
      <c r="J197" s="25">
        <v>383866</v>
      </c>
      <c r="K197" s="25">
        <f t="shared" si="17"/>
        <v>0</v>
      </c>
      <c r="L197" s="32"/>
    </row>
    <row r="198" spans="1:12" ht="13.5">
      <c r="A198" s="10" t="s">
        <v>160</v>
      </c>
      <c r="B198" s="10">
        <v>414105</v>
      </c>
      <c r="C198" s="14"/>
      <c r="D198" s="10">
        <v>215363</v>
      </c>
      <c r="E198" s="10"/>
      <c r="F198" s="10">
        <v>51330</v>
      </c>
      <c r="G198" s="10"/>
      <c r="H198" s="10">
        <f t="shared" si="16"/>
        <v>578138</v>
      </c>
      <c r="J198" s="25">
        <v>578138.36</v>
      </c>
      <c r="K198" s="25">
        <f t="shared" si="17"/>
        <v>0</v>
      </c>
      <c r="L198" s="32"/>
    </row>
    <row r="199" spans="1:12" ht="13.5">
      <c r="A199" s="10" t="s">
        <v>191</v>
      </c>
      <c r="B199" s="10">
        <v>66425</v>
      </c>
      <c r="C199" s="14"/>
      <c r="D199" s="10">
        <v>1322</v>
      </c>
      <c r="E199" s="10"/>
      <c r="F199" s="10">
        <v>0</v>
      </c>
      <c r="G199" s="10"/>
      <c r="H199" s="10">
        <f t="shared" si="16"/>
        <v>67747</v>
      </c>
      <c r="J199" s="25">
        <v>67747</v>
      </c>
      <c r="K199" s="25">
        <f t="shared" si="17"/>
        <v>0</v>
      </c>
      <c r="L199" s="32"/>
    </row>
    <row r="200" spans="1:12" ht="13.5">
      <c r="A200" s="10" t="s">
        <v>181</v>
      </c>
      <c r="B200" s="10">
        <v>53773</v>
      </c>
      <c r="C200" s="14"/>
      <c r="D200" s="10">
        <v>1070</v>
      </c>
      <c r="E200" s="10"/>
      <c r="F200" s="10">
        <v>0</v>
      </c>
      <c r="G200" s="10"/>
      <c r="H200" s="10">
        <f t="shared" si="16"/>
        <v>54843</v>
      </c>
      <c r="J200" s="25">
        <f>2598+52244.91</f>
        <v>54842.91</v>
      </c>
      <c r="K200" s="25">
        <f t="shared" si="17"/>
        <v>0</v>
      </c>
      <c r="L200" s="32"/>
    </row>
    <row r="201" spans="1:12" ht="13.5">
      <c r="A201" s="10" t="s">
        <v>161</v>
      </c>
      <c r="B201" s="10">
        <v>399379</v>
      </c>
      <c r="C201" s="14"/>
      <c r="D201" s="10">
        <v>7948</v>
      </c>
      <c r="E201" s="10"/>
      <c r="F201" s="10">
        <v>0</v>
      </c>
      <c r="G201" s="10"/>
      <c r="H201" s="10">
        <f t="shared" si="16"/>
        <v>407327</v>
      </c>
      <c r="J201" s="25">
        <v>407327</v>
      </c>
      <c r="K201" s="25">
        <f t="shared" si="17"/>
        <v>0</v>
      </c>
      <c r="L201" s="32"/>
    </row>
    <row r="202" spans="1:12" ht="13.5">
      <c r="A202" s="10" t="s">
        <v>192</v>
      </c>
      <c r="B202" s="10">
        <v>830176</v>
      </c>
      <c r="C202" s="14"/>
      <c r="D202" s="10">
        <v>16521</v>
      </c>
      <c r="E202" s="10"/>
      <c r="F202" s="10">
        <v>0</v>
      </c>
      <c r="G202" s="10"/>
      <c r="H202" s="10">
        <f t="shared" si="16"/>
        <v>846697</v>
      </c>
      <c r="J202" s="25">
        <v>846697</v>
      </c>
      <c r="K202" s="25">
        <f t="shared" si="17"/>
        <v>0</v>
      </c>
      <c r="L202" s="32"/>
    </row>
    <row r="203" spans="1:12" ht="13.5">
      <c r="A203" s="10" t="s">
        <v>162</v>
      </c>
      <c r="B203" s="10">
        <v>2976093</v>
      </c>
      <c r="C203" s="14"/>
      <c r="D203" s="10">
        <v>294742</v>
      </c>
      <c r="E203" s="10"/>
      <c r="F203" s="10">
        <v>108321</v>
      </c>
      <c r="G203" s="10"/>
      <c r="H203" s="10">
        <f t="shared" si="16"/>
        <v>3162514</v>
      </c>
      <c r="J203" s="25">
        <v>3162514.73</v>
      </c>
      <c r="K203" s="25">
        <f t="shared" si="17"/>
        <v>1</v>
      </c>
      <c r="L203" s="32"/>
    </row>
    <row r="204" spans="1:12" ht="13.5">
      <c r="A204" s="10" t="s">
        <v>163</v>
      </c>
      <c r="B204" s="10">
        <v>8713</v>
      </c>
      <c r="C204" s="14"/>
      <c r="D204" s="10">
        <v>173</v>
      </c>
      <c r="E204" s="10"/>
      <c r="F204" s="10">
        <v>0</v>
      </c>
      <c r="G204" s="10"/>
      <c r="H204" s="10">
        <f t="shared" si="16"/>
        <v>8886</v>
      </c>
      <c r="J204" s="25">
        <v>8885.68</v>
      </c>
      <c r="K204" s="25">
        <f t="shared" si="17"/>
        <v>0</v>
      </c>
      <c r="L204" s="32"/>
    </row>
    <row r="205" spans="1:12" ht="13.5">
      <c r="A205" s="10" t="s">
        <v>164</v>
      </c>
      <c r="B205" s="10">
        <v>498078</v>
      </c>
      <c r="C205" s="14"/>
      <c r="D205" s="10">
        <v>9912</v>
      </c>
      <c r="E205" s="10"/>
      <c r="F205" s="10">
        <v>0</v>
      </c>
      <c r="G205" s="10"/>
      <c r="H205" s="10">
        <f t="shared" si="16"/>
        <v>507990</v>
      </c>
      <c r="J205" s="25">
        <v>507990</v>
      </c>
      <c r="K205" s="25">
        <f t="shared" si="17"/>
        <v>0</v>
      </c>
      <c r="L205" s="32"/>
    </row>
    <row r="206" spans="1:12" ht="13.5">
      <c r="A206" s="10" t="s">
        <v>165</v>
      </c>
      <c r="B206" s="10">
        <v>129287</v>
      </c>
      <c r="C206" s="14"/>
      <c r="D206" s="10">
        <v>2573</v>
      </c>
      <c r="E206" s="10"/>
      <c r="F206" s="10">
        <v>0</v>
      </c>
      <c r="G206" s="10"/>
      <c r="H206" s="10">
        <f t="shared" si="16"/>
        <v>131860</v>
      </c>
      <c r="J206" s="25">
        <v>131860</v>
      </c>
      <c r="K206" s="25">
        <f t="shared" si="17"/>
        <v>0</v>
      </c>
      <c r="L206" s="32"/>
    </row>
    <row r="207" spans="1:12" ht="13.5">
      <c r="A207" s="10" t="s">
        <v>166</v>
      </c>
      <c r="B207" s="10">
        <v>705877</v>
      </c>
      <c r="C207" s="14"/>
      <c r="D207" s="10">
        <v>14047</v>
      </c>
      <c r="E207" s="10"/>
      <c r="F207" s="10">
        <v>0</v>
      </c>
      <c r="G207" s="10"/>
      <c r="H207" s="10">
        <f t="shared" si="16"/>
        <v>719924</v>
      </c>
      <c r="J207" s="25">
        <v>719924</v>
      </c>
      <c r="K207" s="25">
        <f t="shared" si="17"/>
        <v>0</v>
      </c>
      <c r="L207" s="32"/>
    </row>
    <row r="208" spans="1:12" ht="13.5">
      <c r="A208" s="10" t="s">
        <v>167</v>
      </c>
      <c r="B208" s="10">
        <v>221407</v>
      </c>
      <c r="C208" s="14"/>
      <c r="D208" s="10">
        <v>4406</v>
      </c>
      <c r="E208" s="10"/>
      <c r="F208" s="10">
        <v>0</v>
      </c>
      <c r="G208" s="10"/>
      <c r="H208" s="10">
        <f t="shared" si="16"/>
        <v>225813</v>
      </c>
      <c r="J208" s="25">
        <v>225813</v>
      </c>
      <c r="K208" s="25">
        <f t="shared" si="17"/>
        <v>0</v>
      </c>
      <c r="L208" s="32"/>
    </row>
    <row r="209" spans="1:12" ht="13.5">
      <c r="A209" s="10" t="s">
        <v>168</v>
      </c>
      <c r="B209" s="10">
        <v>907596</v>
      </c>
      <c r="C209" s="14"/>
      <c r="D209" s="10">
        <v>18061</v>
      </c>
      <c r="E209" s="10"/>
      <c r="F209" s="10">
        <v>0</v>
      </c>
      <c r="G209" s="10"/>
      <c r="H209" s="10">
        <f t="shared" si="16"/>
        <v>925657</v>
      </c>
      <c r="J209" s="25">
        <v>925657</v>
      </c>
      <c r="K209" s="25">
        <f t="shared" si="17"/>
        <v>0</v>
      </c>
      <c r="L209" s="32"/>
    </row>
    <row r="210" spans="1:12" ht="13.5">
      <c r="A210" s="10" t="s">
        <v>169</v>
      </c>
      <c r="B210" s="10">
        <v>1409767</v>
      </c>
      <c r="C210" s="14"/>
      <c r="D210" s="10">
        <v>28054</v>
      </c>
      <c r="E210" s="10"/>
      <c r="F210" s="10">
        <v>0</v>
      </c>
      <c r="G210" s="10"/>
      <c r="H210" s="10">
        <f t="shared" si="16"/>
        <v>1437821</v>
      </c>
      <c r="J210" s="25">
        <v>1437821</v>
      </c>
      <c r="K210" s="25">
        <f t="shared" si="17"/>
        <v>0</v>
      </c>
      <c r="L210" s="32"/>
    </row>
    <row r="211" spans="1:12" ht="13.5">
      <c r="A211" s="10" t="s">
        <v>170</v>
      </c>
      <c r="B211" s="10">
        <v>160247</v>
      </c>
      <c r="C211" s="14"/>
      <c r="D211" s="10">
        <v>20526</v>
      </c>
      <c r="E211" s="10"/>
      <c r="F211" s="10">
        <v>0</v>
      </c>
      <c r="G211" s="10"/>
      <c r="H211" s="10">
        <f t="shared" si="16"/>
        <v>180773</v>
      </c>
      <c r="J211" s="25">
        <v>180773</v>
      </c>
      <c r="K211" s="25">
        <f t="shared" si="17"/>
        <v>0</v>
      </c>
      <c r="L211" s="32"/>
    </row>
    <row r="212" spans="1:12" ht="13.5">
      <c r="A212" s="10" t="s">
        <v>189</v>
      </c>
      <c r="B212" s="10">
        <v>1626083</v>
      </c>
      <c r="C212" s="14"/>
      <c r="D212" s="10">
        <v>3269680</v>
      </c>
      <c r="E212" s="10"/>
      <c r="F212" s="10">
        <v>0</v>
      </c>
      <c r="G212" s="10"/>
      <c r="H212" s="10">
        <f t="shared" si="16"/>
        <v>4895763</v>
      </c>
      <c r="J212" s="25">
        <v>4895763</v>
      </c>
      <c r="K212" s="25">
        <f t="shared" si="17"/>
        <v>0</v>
      </c>
      <c r="L212" s="32"/>
    </row>
    <row r="213" spans="1:12" ht="13.5">
      <c r="A213" s="10" t="s">
        <v>171</v>
      </c>
      <c r="B213" s="10">
        <v>353630</v>
      </c>
      <c r="C213" s="14"/>
      <c r="D213" s="10">
        <v>41186</v>
      </c>
      <c r="E213" s="10"/>
      <c r="F213" s="10">
        <v>0</v>
      </c>
      <c r="G213" s="10"/>
      <c r="H213" s="10">
        <f t="shared" si="16"/>
        <v>394816</v>
      </c>
      <c r="J213" s="25">
        <v>394816</v>
      </c>
      <c r="K213" s="25">
        <f t="shared" si="17"/>
        <v>0</v>
      </c>
      <c r="L213" s="32"/>
    </row>
    <row r="214" spans="1:12" ht="13.5">
      <c r="A214" s="10" t="s">
        <v>172</v>
      </c>
      <c r="B214" s="10">
        <v>721534</v>
      </c>
      <c r="C214" s="14"/>
      <c r="D214" s="10">
        <v>10965</v>
      </c>
      <c r="E214" s="10"/>
      <c r="F214" s="10">
        <v>387321</v>
      </c>
      <c r="G214" s="10"/>
      <c r="H214" s="10">
        <f t="shared" si="16"/>
        <v>345178</v>
      </c>
      <c r="J214" s="25">
        <v>345177.89</v>
      </c>
      <c r="K214" s="25">
        <f t="shared" si="17"/>
        <v>0</v>
      </c>
      <c r="L214" s="32"/>
    </row>
    <row r="215" spans="1:12" ht="13.5">
      <c r="A215" s="10" t="s">
        <v>173</v>
      </c>
      <c r="B215" s="10">
        <v>1281641</v>
      </c>
      <c r="C215" s="14"/>
      <c r="D215" s="10">
        <v>25091</v>
      </c>
      <c r="E215" s="10"/>
      <c r="F215" s="10">
        <v>88289</v>
      </c>
      <c r="G215" s="10"/>
      <c r="H215" s="10">
        <f t="shared" si="16"/>
        <v>1218443</v>
      </c>
      <c r="J215" s="25">
        <v>1218442.79</v>
      </c>
      <c r="K215" s="25">
        <f t="shared" si="17"/>
        <v>0</v>
      </c>
      <c r="L215" s="32"/>
    </row>
    <row r="216" spans="1:12" ht="13.5">
      <c r="A216" s="10" t="s">
        <v>174</v>
      </c>
      <c r="B216" s="10">
        <v>258491</v>
      </c>
      <c r="C216" s="14"/>
      <c r="D216" s="10">
        <v>5144</v>
      </c>
      <c r="E216" s="10"/>
      <c r="F216" s="10">
        <v>0</v>
      </c>
      <c r="G216" s="10"/>
      <c r="H216" s="10">
        <f t="shared" si="16"/>
        <v>263635</v>
      </c>
      <c r="J216" s="25">
        <v>263635</v>
      </c>
      <c r="K216" s="25">
        <f t="shared" si="17"/>
        <v>0</v>
      </c>
      <c r="L216" s="32"/>
    </row>
    <row r="217" spans="1:12" ht="13.5">
      <c r="A217" s="10" t="s">
        <v>175</v>
      </c>
      <c r="B217" s="10">
        <v>341548</v>
      </c>
      <c r="C217" s="14"/>
      <c r="D217" s="10">
        <v>6797</v>
      </c>
      <c r="E217" s="10"/>
      <c r="F217" s="10">
        <v>0</v>
      </c>
      <c r="G217" s="10"/>
      <c r="H217" s="10">
        <f t="shared" si="16"/>
        <v>348345</v>
      </c>
      <c r="J217" s="25">
        <v>348345</v>
      </c>
      <c r="K217" s="25">
        <f t="shared" si="17"/>
        <v>0</v>
      </c>
      <c r="L217" s="32"/>
    </row>
    <row r="218" spans="1:11" ht="13.5">
      <c r="A218" s="10" t="s">
        <v>176</v>
      </c>
      <c r="B218" s="17">
        <f>SUM(B192:B217)</f>
        <v>19155703</v>
      </c>
      <c r="C218" s="10"/>
      <c r="D218" s="17">
        <f>SUM(D192:D217)</f>
        <v>4108839</v>
      </c>
      <c r="E218" s="10"/>
      <c r="F218" s="17">
        <f>SUM(F192:F217)</f>
        <v>635261</v>
      </c>
      <c r="G218" s="10"/>
      <c r="H218" s="17">
        <f>SUM(H192:H217)</f>
        <v>22629281</v>
      </c>
      <c r="J218" s="25">
        <f>SUM(J192:J217)</f>
        <v>22629281.08</v>
      </c>
      <c r="K218" s="25">
        <f t="shared" si="17"/>
        <v>0</v>
      </c>
    </row>
    <row r="219" spans="1:8" ht="13.5">
      <c r="A219" s="10"/>
      <c r="B219" s="10"/>
      <c r="C219" s="14"/>
      <c r="D219" s="10"/>
      <c r="E219" s="10"/>
      <c r="F219" s="10"/>
      <c r="G219" s="10"/>
      <c r="H219" s="10"/>
    </row>
    <row r="220" spans="1:8" ht="13.5">
      <c r="A220" s="10" t="s">
        <v>62</v>
      </c>
      <c r="B220" s="12"/>
      <c r="C220" s="10"/>
      <c r="D220" s="12"/>
      <c r="E220" s="10"/>
      <c r="F220" s="12"/>
      <c r="G220" s="10"/>
      <c r="H220" s="12"/>
    </row>
    <row r="221" spans="1:12" ht="13.5">
      <c r="A221" s="10" t="s">
        <v>182</v>
      </c>
      <c r="B221" s="12">
        <v>1240616</v>
      </c>
      <c r="C221" s="10"/>
      <c r="D221" s="12">
        <v>41</v>
      </c>
      <c r="E221" s="10"/>
      <c r="F221" s="12">
        <v>41</v>
      </c>
      <c r="G221" s="10"/>
      <c r="H221" s="12">
        <f aca="true" t="shared" si="18" ref="H221:H234">+B221+D221-F221</f>
        <v>1240616</v>
      </c>
      <c r="J221" s="25">
        <v>1240616</v>
      </c>
      <c r="K221" s="25">
        <f>ROUND(J221,0)-H221</f>
        <v>0</v>
      </c>
      <c r="L221" s="32"/>
    </row>
    <row r="222" spans="1:12" ht="13.5">
      <c r="A222" s="10" t="s">
        <v>80</v>
      </c>
      <c r="B222" s="12">
        <v>536982</v>
      </c>
      <c r="C222" s="10"/>
      <c r="D222" s="12">
        <v>-857</v>
      </c>
      <c r="E222" s="10"/>
      <c r="F222" s="12">
        <v>0</v>
      </c>
      <c r="G222" s="10"/>
      <c r="H222" s="12">
        <f aca="true" t="shared" si="19" ref="H222:H227">+B222+D222-F222</f>
        <v>536125</v>
      </c>
      <c r="J222" s="25">
        <v>536125.19</v>
      </c>
      <c r="K222" s="25">
        <f aca="true" t="shared" si="20" ref="K222:K234">ROUND(J222,0)-H222</f>
        <v>0</v>
      </c>
      <c r="L222" s="32"/>
    </row>
    <row r="223" spans="1:12" ht="13.5">
      <c r="A223" s="10" t="s">
        <v>191</v>
      </c>
      <c r="B223" s="12">
        <v>0</v>
      </c>
      <c r="C223" s="10"/>
      <c r="D223" s="12">
        <v>60000</v>
      </c>
      <c r="E223" s="10"/>
      <c r="F223" s="12">
        <v>60000</v>
      </c>
      <c r="G223" s="10"/>
      <c r="H223" s="12">
        <f t="shared" si="19"/>
        <v>0</v>
      </c>
      <c r="J223" s="25">
        <v>0</v>
      </c>
      <c r="L223" s="32"/>
    </row>
    <row r="224" spans="1:12" ht="13.5">
      <c r="A224" s="10" t="s">
        <v>188</v>
      </c>
      <c r="B224" s="12">
        <v>251000</v>
      </c>
      <c r="C224" s="10"/>
      <c r="D224" s="12">
        <v>0</v>
      </c>
      <c r="E224" s="10"/>
      <c r="F224" s="12">
        <v>0</v>
      </c>
      <c r="G224" s="10"/>
      <c r="H224" s="12">
        <f t="shared" si="19"/>
        <v>251000</v>
      </c>
      <c r="J224" s="25">
        <v>251000</v>
      </c>
      <c r="L224" s="32"/>
    </row>
    <row r="225" spans="1:12" ht="13.5">
      <c r="A225" s="10" t="s">
        <v>207</v>
      </c>
      <c r="B225" s="12">
        <v>0</v>
      </c>
      <c r="C225" s="10"/>
      <c r="D225" s="12">
        <v>0</v>
      </c>
      <c r="E225" s="10"/>
      <c r="F225" s="12">
        <v>-1898</v>
      </c>
      <c r="G225" s="10"/>
      <c r="H225" s="12">
        <f t="shared" si="19"/>
        <v>1898</v>
      </c>
      <c r="J225" s="25">
        <v>1898</v>
      </c>
      <c r="K225" s="25">
        <f t="shared" si="20"/>
        <v>0</v>
      </c>
      <c r="L225" s="32"/>
    </row>
    <row r="226" spans="1:12" ht="13.5">
      <c r="A226" s="10" t="s">
        <v>118</v>
      </c>
      <c r="B226" s="12">
        <v>0</v>
      </c>
      <c r="C226" s="10"/>
      <c r="D226" s="12">
        <v>-9</v>
      </c>
      <c r="E226" s="10"/>
      <c r="F226" s="12">
        <v>-9</v>
      </c>
      <c r="G226" s="10"/>
      <c r="H226" s="12">
        <f t="shared" si="19"/>
        <v>0</v>
      </c>
      <c r="J226" s="25">
        <v>0</v>
      </c>
      <c r="K226" s="25">
        <f t="shared" si="20"/>
        <v>0</v>
      </c>
      <c r="L226" s="32"/>
    </row>
    <row r="227" spans="1:12" ht="13.5">
      <c r="A227" s="10" t="s">
        <v>208</v>
      </c>
      <c r="B227" s="12">
        <v>0</v>
      </c>
      <c r="C227" s="10"/>
      <c r="D227" s="12">
        <v>624</v>
      </c>
      <c r="E227" s="10"/>
      <c r="F227" s="12">
        <v>624</v>
      </c>
      <c r="G227" s="10"/>
      <c r="H227" s="12">
        <f t="shared" si="19"/>
        <v>0</v>
      </c>
      <c r="J227" s="25">
        <v>0</v>
      </c>
      <c r="K227" s="25">
        <f t="shared" si="20"/>
        <v>0</v>
      </c>
      <c r="L227" s="32"/>
    </row>
    <row r="228" spans="1:12" ht="13.5">
      <c r="A228" s="10" t="s">
        <v>201</v>
      </c>
      <c r="B228" s="10">
        <v>16213</v>
      </c>
      <c r="C228" s="10"/>
      <c r="D228" s="12">
        <v>0</v>
      </c>
      <c r="E228" s="10"/>
      <c r="F228" s="12">
        <v>0</v>
      </c>
      <c r="G228" s="10"/>
      <c r="H228" s="12">
        <f t="shared" si="18"/>
        <v>16213</v>
      </c>
      <c r="J228" s="25">
        <v>16213</v>
      </c>
      <c r="K228" s="25">
        <f t="shared" si="20"/>
        <v>0</v>
      </c>
      <c r="L228" s="32"/>
    </row>
    <row r="229" spans="1:12" ht="13.5">
      <c r="A229" s="10" t="s">
        <v>152</v>
      </c>
      <c r="B229" s="10">
        <v>509050</v>
      </c>
      <c r="C229" s="10"/>
      <c r="D229" s="12">
        <v>0</v>
      </c>
      <c r="E229" s="10"/>
      <c r="F229" s="12">
        <v>0</v>
      </c>
      <c r="G229" s="10"/>
      <c r="H229" s="12">
        <f t="shared" si="18"/>
        <v>509050</v>
      </c>
      <c r="J229" s="25">
        <v>509050</v>
      </c>
      <c r="K229" s="25">
        <f t="shared" si="20"/>
        <v>0</v>
      </c>
      <c r="L229" s="32"/>
    </row>
    <row r="230" spans="1:12" ht="13.5">
      <c r="A230" s="10" t="s">
        <v>143</v>
      </c>
      <c r="B230" s="10">
        <v>0</v>
      </c>
      <c r="C230" s="10"/>
      <c r="D230" s="12">
        <v>7725803</v>
      </c>
      <c r="E230" s="10"/>
      <c r="F230" s="12">
        <v>7725803</v>
      </c>
      <c r="G230" s="10"/>
      <c r="H230" s="12">
        <f t="shared" si="18"/>
        <v>0</v>
      </c>
      <c r="J230" s="25">
        <v>0</v>
      </c>
      <c r="K230" s="25">
        <f t="shared" si="20"/>
        <v>0</v>
      </c>
      <c r="L230" s="32"/>
    </row>
    <row r="231" spans="1:12" ht="13.5">
      <c r="A231" s="10" t="s">
        <v>183</v>
      </c>
      <c r="B231" s="10">
        <v>0</v>
      </c>
      <c r="C231" s="10"/>
      <c r="D231" s="12">
        <v>8683</v>
      </c>
      <c r="E231" s="10"/>
      <c r="F231" s="12">
        <v>8683</v>
      </c>
      <c r="G231" s="10"/>
      <c r="H231" s="12">
        <f t="shared" si="18"/>
        <v>0</v>
      </c>
      <c r="J231" s="25">
        <v>0</v>
      </c>
      <c r="K231" s="25">
        <f t="shared" si="20"/>
        <v>0</v>
      </c>
      <c r="L231" s="32"/>
    </row>
    <row r="232" spans="1:12" ht="13.5">
      <c r="A232" s="10" t="s">
        <v>184</v>
      </c>
      <c r="B232" s="10">
        <v>132991</v>
      </c>
      <c r="C232" s="10"/>
      <c r="D232" s="12">
        <v>0</v>
      </c>
      <c r="E232" s="10"/>
      <c r="F232" s="12">
        <v>0</v>
      </c>
      <c r="G232" s="10"/>
      <c r="H232" s="12">
        <f t="shared" si="18"/>
        <v>132991</v>
      </c>
      <c r="J232" s="25">
        <v>132991</v>
      </c>
      <c r="K232" s="25">
        <f t="shared" si="20"/>
        <v>0</v>
      </c>
      <c r="L232" s="32"/>
    </row>
    <row r="233" spans="1:12" ht="13.5">
      <c r="A233" s="10" t="s">
        <v>153</v>
      </c>
      <c r="B233" s="10">
        <v>538083</v>
      </c>
      <c r="C233" s="10"/>
      <c r="D233" s="12">
        <v>0</v>
      </c>
      <c r="E233" s="10"/>
      <c r="F233" s="12">
        <v>0</v>
      </c>
      <c r="G233" s="10"/>
      <c r="H233" s="12">
        <f t="shared" si="18"/>
        <v>538083</v>
      </c>
      <c r="J233" s="25">
        <v>538083</v>
      </c>
      <c r="K233" s="25">
        <f t="shared" si="20"/>
        <v>0</v>
      </c>
      <c r="L233" s="32"/>
    </row>
    <row r="234" spans="1:12" ht="13.5">
      <c r="A234" s="10" t="s">
        <v>187</v>
      </c>
      <c r="B234" s="12">
        <v>0</v>
      </c>
      <c r="C234" s="10"/>
      <c r="D234" s="12">
        <v>1278745</v>
      </c>
      <c r="E234" s="10"/>
      <c r="F234" s="12">
        <v>1278745</v>
      </c>
      <c r="G234" s="10"/>
      <c r="H234" s="12">
        <f t="shared" si="18"/>
        <v>0</v>
      </c>
      <c r="J234" s="25">
        <v>0</v>
      </c>
      <c r="K234" s="25">
        <f t="shared" si="20"/>
        <v>0</v>
      </c>
      <c r="L234" s="32"/>
    </row>
    <row r="235" spans="1:11" ht="13.5">
      <c r="A235" s="10" t="s">
        <v>63</v>
      </c>
      <c r="B235" s="16">
        <f>SUM(B221:B234)</f>
        <v>3224935</v>
      </c>
      <c r="C235" s="10"/>
      <c r="D235" s="16">
        <f>SUM(D221:D234)</f>
        <v>9073030</v>
      </c>
      <c r="E235" s="10"/>
      <c r="F235" s="16">
        <f>SUM(F221:F234)</f>
        <v>9071989</v>
      </c>
      <c r="G235" s="10"/>
      <c r="H235" s="16">
        <f>SUM(H221:H234)</f>
        <v>3225976</v>
      </c>
      <c r="J235" s="25">
        <f>SUM(J221:J234)</f>
        <v>3225976.19</v>
      </c>
      <c r="K235" s="25">
        <f>SUM(K221:K234)</f>
        <v>0</v>
      </c>
    </row>
    <row r="236" spans="1:8" ht="13.5">
      <c r="A236" s="10"/>
      <c r="B236" s="12"/>
      <c r="C236" s="10"/>
      <c r="D236" s="12"/>
      <c r="E236" s="10"/>
      <c r="F236" s="12"/>
      <c r="G236" s="10"/>
      <c r="H236" s="12"/>
    </row>
    <row r="237" spans="1:11" ht="14.25" thickBot="1">
      <c r="A237" s="10" t="s">
        <v>43</v>
      </c>
      <c r="B237" s="21">
        <f>B235+B189+B163+B48+B27+B218</f>
        <v>202775458</v>
      </c>
      <c r="C237" s="10"/>
      <c r="D237" s="21">
        <f>D235+D189+D163+D48+D27+D218</f>
        <v>106283646</v>
      </c>
      <c r="E237" s="10"/>
      <c r="F237" s="21">
        <f>F235+F189+F163+F48+F27+F218</f>
        <v>129030251</v>
      </c>
      <c r="G237" s="10"/>
      <c r="H237" s="21">
        <f>H235+H189+H163+H48+H27+H218</f>
        <v>180028853</v>
      </c>
      <c r="J237" s="25">
        <f>J235+J218+J189+J163+J48</f>
        <v>180028853.37999997</v>
      </c>
      <c r="K237" s="25">
        <f>K235+K218+K189+K163+K48</f>
        <v>0</v>
      </c>
    </row>
    <row r="238" spans="1:8" ht="14.25" thickTop="1">
      <c r="A238" s="10"/>
      <c r="B238" s="10"/>
      <c r="C238" s="10"/>
      <c r="D238" s="10"/>
      <c r="E238" s="10"/>
      <c r="F238" s="10"/>
      <c r="G238" s="10"/>
      <c r="H238" s="10"/>
    </row>
    <row r="239" spans="1:8" ht="13.5">
      <c r="A239" s="10"/>
      <c r="B239" s="10"/>
      <c r="C239" s="10"/>
      <c r="D239" s="10"/>
      <c r="E239" s="10"/>
      <c r="F239" s="10"/>
      <c r="G239" s="10"/>
      <c r="H239" s="10"/>
    </row>
    <row r="240" spans="1:8" ht="13.5">
      <c r="A240" s="10"/>
      <c r="B240" s="10"/>
      <c r="C240" s="10"/>
      <c r="D240" s="10"/>
      <c r="E240" s="10"/>
      <c r="F240" s="10"/>
      <c r="G240" s="10"/>
      <c r="H240" s="10"/>
    </row>
    <row r="241" spans="1:8" ht="13.5">
      <c r="A241" s="10"/>
      <c r="B241" s="10"/>
      <c r="C241" s="10"/>
      <c r="D241" s="10"/>
      <c r="E241" s="10"/>
      <c r="F241" s="10"/>
      <c r="G241" s="10"/>
      <c r="H241" s="10"/>
    </row>
    <row r="242" spans="1:8" ht="13.5">
      <c r="A242" s="10"/>
      <c r="B242" s="10"/>
      <c r="C242" s="10"/>
      <c r="D242" s="10"/>
      <c r="E242" s="10"/>
      <c r="F242" s="10"/>
      <c r="G242" s="10"/>
      <c r="H242" s="10"/>
    </row>
    <row r="243" spans="1:8" ht="13.5">
      <c r="A243" s="10"/>
      <c r="B243" s="10"/>
      <c r="C243" s="10"/>
      <c r="D243" s="10"/>
      <c r="E243" s="10"/>
      <c r="F243" s="10"/>
      <c r="G243" s="10"/>
      <c r="H243" s="10"/>
    </row>
    <row r="244" spans="1:10" ht="13.5">
      <c r="A244" s="22" t="s">
        <v>4</v>
      </c>
      <c r="B244" s="10">
        <v>202775457</v>
      </c>
      <c r="C244" s="10"/>
      <c r="D244" s="10">
        <v>38652515</v>
      </c>
      <c r="E244" s="10"/>
      <c r="F244" s="10">
        <v>61399119</v>
      </c>
      <c r="G244" s="10"/>
      <c r="H244" s="10">
        <f>B244+D244-F244</f>
        <v>180028853</v>
      </c>
      <c r="J244" s="25">
        <v>-1</v>
      </c>
    </row>
    <row r="245" spans="1:8" ht="13.5">
      <c r="A245" s="22" t="s">
        <v>3</v>
      </c>
      <c r="B245" s="18">
        <f>B237</f>
        <v>202775458</v>
      </c>
      <c r="C245" s="10"/>
      <c r="D245" s="18">
        <f>D237</f>
        <v>106283646</v>
      </c>
      <c r="E245" s="10"/>
      <c r="F245" s="18">
        <f>F237</f>
        <v>129030251</v>
      </c>
      <c r="G245" s="10"/>
      <c r="H245" s="18">
        <f>H237</f>
        <v>180028853</v>
      </c>
    </row>
    <row r="246" spans="1:8" ht="13.5">
      <c r="A246" s="10"/>
      <c r="B246" s="10"/>
      <c r="C246" s="10"/>
      <c r="D246" s="10"/>
      <c r="E246" s="10"/>
      <c r="F246" s="10"/>
      <c r="G246" s="10"/>
      <c r="H246" s="10"/>
    </row>
    <row r="247" spans="1:8" ht="13.5">
      <c r="A247" s="10"/>
      <c r="B247" s="10">
        <f>B244-B245</f>
        <v>-1</v>
      </c>
      <c r="C247" s="10"/>
      <c r="D247" s="10">
        <f>D244-D245</f>
        <v>-67631131</v>
      </c>
      <c r="E247" s="10"/>
      <c r="F247" s="10">
        <f>F244-F245</f>
        <v>-67631132</v>
      </c>
      <c r="G247" s="10"/>
      <c r="H247" s="10">
        <f>H244-H245</f>
        <v>0</v>
      </c>
    </row>
    <row r="248" spans="1:8" ht="13.5">
      <c r="A248" s="22" t="s">
        <v>67</v>
      </c>
      <c r="B248" s="23">
        <v>0</v>
      </c>
      <c r="C248" s="9"/>
      <c r="D248" s="23">
        <v>67631131</v>
      </c>
      <c r="E248" s="9"/>
      <c r="F248" s="23">
        <v>67631131</v>
      </c>
      <c r="G248" s="9"/>
      <c r="H248" s="23">
        <v>0</v>
      </c>
    </row>
    <row r="249" spans="1:8" ht="13.5">
      <c r="A249" s="10"/>
      <c r="B249" s="24">
        <f>B247+B248</f>
        <v>-1</v>
      </c>
      <c r="C249" s="9"/>
      <c r="D249" s="24">
        <f>D247+D248</f>
        <v>0</v>
      </c>
      <c r="E249" s="9"/>
      <c r="F249" s="24">
        <f>F247+F248</f>
        <v>-1</v>
      </c>
      <c r="G249" s="9"/>
      <c r="H249" s="24">
        <f>H247+H248</f>
        <v>0</v>
      </c>
    </row>
    <row r="250" ht="12.75">
      <c r="A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3" t="s">
        <v>2</v>
      </c>
      <c r="B252" s="1"/>
      <c r="C252" s="1"/>
      <c r="D252" s="1"/>
      <c r="E252" s="1"/>
      <c r="F252" s="1"/>
      <c r="G252" s="1"/>
      <c r="H252" s="1"/>
    </row>
    <row r="253" spans="1:8" ht="12.75">
      <c r="A253" s="3" t="s">
        <v>2</v>
      </c>
      <c r="B253" s="1"/>
      <c r="C253" s="1"/>
      <c r="D253" s="1"/>
      <c r="E253" s="1"/>
      <c r="F253" s="1"/>
      <c r="G253" s="1"/>
      <c r="H253" s="1"/>
    </row>
    <row r="254" spans="1:8" ht="12.75">
      <c r="A254" s="1"/>
      <c r="B254" s="1"/>
      <c r="C254" s="1"/>
      <c r="D254" s="1"/>
      <c r="E254" s="1"/>
      <c r="F254" s="1"/>
      <c r="G254" s="1"/>
      <c r="H254" s="1"/>
    </row>
    <row r="255" spans="1:8" ht="12.75">
      <c r="A255" s="1"/>
      <c r="B255" s="1"/>
      <c r="C255" s="1"/>
      <c r="D255" s="1"/>
      <c r="E255" s="1"/>
      <c r="F255" s="1"/>
      <c r="G255" s="1"/>
      <c r="H255" s="1"/>
    </row>
    <row r="256" spans="1:8" ht="12.75">
      <c r="A256" s="1"/>
      <c r="B256" s="1"/>
      <c r="C256" s="1"/>
      <c r="D256" s="1"/>
      <c r="E256" s="1"/>
      <c r="F256" s="1"/>
      <c r="G256" s="1"/>
      <c r="H256" s="1"/>
    </row>
    <row r="257" spans="1:8" ht="12.75">
      <c r="A257" s="1"/>
      <c r="B257" s="1"/>
      <c r="C257" s="1"/>
      <c r="D257" s="1"/>
      <c r="E257" s="1"/>
      <c r="F257" s="1"/>
      <c r="G257" s="1"/>
      <c r="H257" s="1"/>
    </row>
    <row r="258" spans="1:8" ht="12.75">
      <c r="A258" s="1"/>
      <c r="B258" s="1"/>
      <c r="C258" s="1"/>
      <c r="D258" s="1"/>
      <c r="E258" s="1"/>
      <c r="F258" s="1"/>
      <c r="G258" s="1"/>
      <c r="H258" s="1"/>
    </row>
    <row r="259" spans="1:8" ht="12.75">
      <c r="A259" s="1"/>
      <c r="B259" s="1"/>
      <c r="C259" s="1"/>
      <c r="D259" s="1"/>
      <c r="E259" s="1"/>
      <c r="F259" s="1"/>
      <c r="G259" s="1"/>
      <c r="H259" s="1"/>
    </row>
    <row r="260" spans="1:8" ht="12.75">
      <c r="A260" s="1"/>
      <c r="B260" s="1"/>
      <c r="C260" s="1"/>
      <c r="D260" s="1"/>
      <c r="E260" s="1"/>
      <c r="F260" s="1"/>
      <c r="G260" s="1"/>
      <c r="H260" s="1"/>
    </row>
    <row r="261" spans="1:8" ht="12.75">
      <c r="A261" s="1"/>
      <c r="B261" s="1"/>
      <c r="C261" s="1"/>
      <c r="D261" s="1"/>
      <c r="E261" s="1"/>
      <c r="F261" s="1"/>
      <c r="G261" s="1"/>
      <c r="H261" s="1"/>
    </row>
    <row r="262" spans="1:8" ht="12.75">
      <c r="A262" s="1"/>
      <c r="B262" s="1"/>
      <c r="C262" s="1"/>
      <c r="D262" s="1"/>
      <c r="E262" s="1"/>
      <c r="F262" s="1"/>
      <c r="G262" s="1"/>
      <c r="H262" s="1"/>
    </row>
    <row r="263" spans="1:8" ht="12.75">
      <c r="A263" s="1"/>
      <c r="B263" s="1"/>
      <c r="C263" s="1"/>
      <c r="D263" s="1"/>
      <c r="E263" s="1"/>
      <c r="F263" s="1"/>
      <c r="G263" s="1"/>
      <c r="H263" s="1"/>
    </row>
    <row r="264" spans="1:8" ht="12.75">
      <c r="A264" s="1"/>
      <c r="B264" s="1"/>
      <c r="C264" s="1"/>
      <c r="D264" s="1"/>
      <c r="E264" s="1"/>
      <c r="F264" s="1"/>
      <c r="G264" s="1"/>
      <c r="H264" s="1"/>
    </row>
    <row r="265" spans="1:8" ht="12.75">
      <c r="A265" s="1"/>
      <c r="B265" s="1"/>
      <c r="C265" s="1"/>
      <c r="D265" s="1"/>
      <c r="E265" s="1"/>
      <c r="F265" s="1"/>
      <c r="G265" s="1"/>
      <c r="H265" s="1"/>
    </row>
  </sheetData>
  <sheetProtection/>
  <mergeCells count="5">
    <mergeCell ref="B6:H6"/>
    <mergeCell ref="C4:G4"/>
    <mergeCell ref="B3:H3"/>
    <mergeCell ref="B5:H5"/>
    <mergeCell ref="A3:A6"/>
  </mergeCells>
  <conditionalFormatting sqref="A92:A93 A219:H237 A94:H103 A105:H217 A12:H91">
    <cfRule type="expression" priority="13" dxfId="0" stopIfTrue="1">
      <formula>MOD(ROW(),2)=0</formula>
    </cfRule>
  </conditionalFormatting>
  <conditionalFormatting sqref="A104:H104">
    <cfRule type="expression" priority="11" dxfId="0" stopIfTrue="1">
      <formula>MOD(ROW(),2)=0</formula>
    </cfRule>
  </conditionalFormatting>
  <conditionalFormatting sqref="B92:H93">
    <cfRule type="expression" priority="9" dxfId="0" stopIfTrue="1">
      <formula>MOD(ROW(),2)=0</formula>
    </cfRule>
  </conditionalFormatting>
  <conditionalFormatting sqref="A218:H218">
    <cfRule type="expression" priority="3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scale="95" r:id="rId2"/>
  <headerFooter alignWithMargins="0">
    <oddFooter>&amp;R&amp;"Goudy Old Style,Regular"Page &amp;P of &amp;N</oddFooter>
  </headerFooter>
  <rowBreaks count="2" manualBreakCount="2">
    <brk id="49" max="255" man="1"/>
    <brk id="219" max="255" man="1"/>
  </rowBreaks>
  <ignoredErrors>
    <ignoredError sqref="H16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2016-08-18T20:36:50Z</cp:lastPrinted>
  <dcterms:created xsi:type="dcterms:W3CDTF">2004-07-20T19:35:16Z</dcterms:created>
  <dcterms:modified xsi:type="dcterms:W3CDTF">2016-08-18T21:03:35Z</dcterms:modified>
  <cp:category/>
  <cp:version/>
  <cp:contentType/>
  <cp:contentStatus/>
</cp:coreProperties>
</file>